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L:\5_Shelter_NFI_CCCM\2018\CAR\4 April 2018\"/>
    </mc:Choice>
  </mc:AlternateContent>
  <bookViews>
    <workbookView xWindow="0" yWindow="0" windowWidth="7476" windowHeight="2760" tabRatio="718" firstSheet="8" activeTab="16"/>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state="hidden" r:id="rId18"/>
    <sheet name="Definition" sheetId="49" state="hidden" r:id="rId19"/>
  </sheets>
  <externalReferences>
    <externalReference r:id="rId20"/>
    <externalReference r:id="rId21"/>
    <externalReference r:id="rId22"/>
    <externalReference r:id="rId23"/>
    <externalReference r:id="rId24"/>
  </externalReferences>
  <definedNames>
    <definedName name="_xlnm._FilterDatabase" localSheetId="0" hidden="1">'IDP locations'!$AH$4:$AI$4</definedName>
    <definedName name="_xlnm._FilterDatabase" localSheetId="14" hidden="1">'NFI Distributions'!#REF!</definedName>
    <definedName name="_xlnm._FilterDatabase" localSheetId="13" hidden="1">'NFI Stock and Pipeline'!$B$3:$BN$3</definedName>
    <definedName name="_xlnm._FilterDatabase" localSheetId="9" hidden="1">'Shelter Gap Analysis'!$A$4:$X$173</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Track">'NFI Distributions'!$AH:$AH</definedName>
    <definedName name="NFI_Clothes_Track">'NFI Distributions'!$AJ:$AJ</definedName>
    <definedName name="NFI_Core_Track">'NFI Distributions'!$AD:$AD</definedName>
    <definedName name="NFI_Expiration">'NFI Distributions'!#REF!</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Distributions'!$B$5:$R$5</definedName>
    <definedName name="_xlnm.Print_Area" localSheetId="16">'NFI Summary'!$B$2:$T$58</definedName>
    <definedName name="_xlnm.Print_Area" localSheetId="12">'Shelter overview'!$A$2:$O$45</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2" r:id="rId27"/>
    <pivotCache cacheId="10" r:id="rId28"/>
    <pivotCache cacheId="23" r:id="rId29"/>
  </pivotCaches>
</workbook>
</file>

<file path=xl/calcChain.xml><?xml version="1.0" encoding="utf-8"?>
<calcChain xmlns="http://schemas.openxmlformats.org/spreadsheetml/2006/main">
  <c r="T106" i="19" l="1"/>
  <c r="T107" i="19"/>
  <c r="T108" i="19"/>
  <c r="T109" i="19"/>
  <c r="T110" i="19"/>
  <c r="T111" i="19"/>
  <c r="T112" i="19"/>
  <c r="T113" i="19"/>
  <c r="T114" i="19"/>
  <c r="T115" i="19"/>
  <c r="T116" i="19"/>
  <c r="T117" i="19"/>
  <c r="T118" i="19"/>
  <c r="T119" i="19"/>
  <c r="T120" i="19"/>
  <c r="T121" i="19"/>
  <c r="T122" i="19"/>
  <c r="T123" i="19"/>
  <c r="T124" i="19"/>
  <c r="T125" i="19"/>
  <c r="T126" i="19"/>
  <c r="T127" i="19"/>
  <c r="T128"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W77" i="19"/>
  <c r="W78" i="19"/>
  <c r="W79" i="19"/>
  <c r="W80" i="19"/>
  <c r="W81" i="19"/>
  <c r="W82" i="19"/>
  <c r="W83" i="19"/>
  <c r="V77" i="19"/>
  <c r="V78" i="19"/>
  <c r="V79" i="19"/>
  <c r="V80" i="19"/>
  <c r="V81" i="19"/>
  <c r="V82" i="19"/>
  <c r="V83" i="19"/>
  <c r="U77" i="19"/>
  <c r="U78" i="19"/>
  <c r="U79" i="19"/>
  <c r="U80" i="19"/>
  <c r="U81" i="19"/>
  <c r="U82" i="19"/>
  <c r="U83" i="19"/>
  <c r="T77" i="19"/>
  <c r="T78" i="19"/>
  <c r="T79" i="19"/>
  <c r="T80" i="19"/>
  <c r="T81" i="19"/>
  <c r="T82" i="19"/>
  <c r="T83" i="19"/>
  <c r="S77" i="19"/>
  <c r="S78" i="19"/>
  <c r="S79" i="19"/>
  <c r="S80" i="19"/>
  <c r="S81" i="19"/>
  <c r="S82" i="19"/>
  <c r="S83" i="19"/>
  <c r="AE290" i="14" l="1"/>
  <c r="AF290" i="14" s="1"/>
  <c r="AE289" i="14"/>
  <c r="AF289" i="14" s="1"/>
  <c r="AE288" i="14"/>
  <c r="AF288" i="14" s="1"/>
  <c r="AE287" i="14"/>
  <c r="AF287" i="14" s="1"/>
  <c r="AE286" i="14"/>
  <c r="AF286" i="14" s="1"/>
  <c r="AE285" i="14"/>
  <c r="AF285" i="14" s="1"/>
  <c r="AE284" i="14"/>
  <c r="AF284" i="14" s="1"/>
  <c r="AD284" i="14"/>
  <c r="AD285" i="14" l="1"/>
  <c r="AD289" i="14"/>
  <c r="AD288" i="14"/>
  <c r="AD287" i="14"/>
  <c r="AD286" i="14"/>
  <c r="AD283" i="14"/>
  <c r="AD282" i="14"/>
  <c r="AD281" i="14"/>
  <c r="AD279" i="14"/>
  <c r="AD278" i="14"/>
  <c r="AD277" i="14"/>
  <c r="T285" i="14" l="1"/>
  <c r="T286" i="14"/>
  <c r="T287" i="14"/>
  <c r="T288" i="14"/>
  <c r="T289" i="14"/>
  <c r="T290" i="14"/>
  <c r="AD290" i="14"/>
  <c r="W134" i="19" l="1"/>
  <c r="V134" i="19"/>
  <c r="U134" i="19"/>
  <c r="T134" i="19"/>
  <c r="S134" i="19"/>
  <c r="P253" i="20" l="1"/>
  <c r="P252" i="20"/>
  <c r="P251" i="20"/>
  <c r="P250" i="20"/>
  <c r="P243" i="20"/>
  <c r="P242" i="20"/>
  <c r="P238" i="20"/>
  <c r="P237" i="20"/>
  <c r="P236" i="20"/>
  <c r="O253" i="20"/>
  <c r="O252" i="20"/>
  <c r="O251" i="20"/>
  <c r="O250" i="20"/>
  <c r="O243" i="20"/>
  <c r="O242" i="20"/>
  <c r="O238" i="20"/>
  <c r="O237" i="20"/>
  <c r="O236" i="20"/>
  <c r="AJ25" i="66" l="1"/>
  <c r="AJ24" i="66"/>
  <c r="AJ23" i="66"/>
  <c r="AJ21" i="66"/>
  <c r="AJ19" i="66"/>
  <c r="AJ20" i="66"/>
  <c r="AJ17" i="66"/>
  <c r="AJ15" i="66"/>
  <c r="AJ14" i="66"/>
  <c r="AJ13" i="66"/>
  <c r="AJ12" i="66"/>
  <c r="AJ11" i="66"/>
  <c r="AJ10" i="66"/>
  <c r="AJ9" i="66"/>
  <c r="AJ8" i="66"/>
  <c r="AJ7" i="66"/>
  <c r="AJ6" i="66"/>
  <c r="AJ5" i="66"/>
  <c r="AJ4" i="66"/>
  <c r="AJ3" i="66"/>
  <c r="AJ16" i="66"/>
  <c r="AJ18" i="66"/>
  <c r="AJ22" i="66"/>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AC229" i="20"/>
  <c r="AC230" i="20"/>
  <c r="AC231" i="20"/>
  <c r="AC232" i="20"/>
  <c r="AC233" i="20"/>
  <c r="AC234" i="20"/>
  <c r="AC235" i="20"/>
  <c r="AC236" i="20"/>
  <c r="AC237" i="20"/>
  <c r="AC238" i="20"/>
  <c r="AC239" i="20"/>
  <c r="AC240" i="20"/>
  <c r="AC241" i="20"/>
  <c r="AC242" i="20"/>
  <c r="AC243" i="20"/>
  <c r="AC244" i="20"/>
  <c r="AC245" i="20"/>
  <c r="AC246" i="20"/>
  <c r="AC247" i="20"/>
  <c r="AC248" i="20"/>
  <c r="AC249" i="20"/>
  <c r="AC250" i="20"/>
  <c r="AC251" i="20"/>
  <c r="AC252" i="20"/>
  <c r="AC253" i="20"/>
  <c r="AC254" i="20"/>
  <c r="AC255" i="20"/>
  <c r="AC256" i="20"/>
  <c r="AC257" i="20"/>
  <c r="AC258" i="20"/>
  <c r="AC259" i="20"/>
  <c r="AC260" i="20"/>
  <c r="AC261" i="20"/>
  <c r="AC262" i="20"/>
  <c r="AC263" i="20"/>
  <c r="AC264" i="20"/>
  <c r="AC265" i="20"/>
  <c r="AC266" i="20"/>
  <c r="AC267" i="20"/>
  <c r="AC268" i="20"/>
  <c r="AC269" i="20"/>
  <c r="AC270" i="20"/>
  <c r="AC271" i="20"/>
  <c r="AC272" i="20"/>
  <c r="AC273" i="20"/>
  <c r="AC274" i="20"/>
  <c r="AC275" i="20"/>
  <c r="AC276" i="20"/>
  <c r="AC277" i="20"/>
  <c r="AC278" i="20"/>
  <c r="AC279" i="20"/>
  <c r="AC280"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E229" i="20"/>
  <c r="AE230" i="20"/>
  <c r="AE231" i="20"/>
  <c r="AE232" i="20"/>
  <c r="AE233" i="20"/>
  <c r="AE234" i="20"/>
  <c r="AE235" i="20"/>
  <c r="AE236" i="20"/>
  <c r="AE237" i="20"/>
  <c r="AE238" i="20"/>
  <c r="AE239" i="20"/>
  <c r="AE240" i="20"/>
  <c r="AE241" i="20"/>
  <c r="AE242" i="20"/>
  <c r="AE243" i="20"/>
  <c r="AE244" i="20"/>
  <c r="AE245" i="20"/>
  <c r="AE246" i="20"/>
  <c r="AE247" i="20"/>
  <c r="AE248" i="20"/>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F229" i="20"/>
  <c r="AF230" i="20"/>
  <c r="AF231" i="20"/>
  <c r="AF232" i="20"/>
  <c r="AF233" i="20"/>
  <c r="AF234" i="20"/>
  <c r="AF235" i="20"/>
  <c r="AF236" i="20"/>
  <c r="AF237" i="20"/>
  <c r="AF238" i="20"/>
  <c r="AF239" i="20"/>
  <c r="AF240" i="20"/>
  <c r="AF241" i="20"/>
  <c r="AF242" i="20"/>
  <c r="AF243" i="20"/>
  <c r="AF244" i="20"/>
  <c r="AF245" i="20"/>
  <c r="AF246" i="20"/>
  <c r="AF247" i="20"/>
  <c r="AF248" i="20"/>
  <c r="AF249" i="20"/>
  <c r="AF250" i="20"/>
  <c r="AF251" i="20"/>
  <c r="AF252" i="20"/>
  <c r="AF253" i="20"/>
  <c r="AF254" i="20"/>
  <c r="AF255" i="20"/>
  <c r="AF256" i="20"/>
  <c r="AF257" i="20"/>
  <c r="AF258" i="20"/>
  <c r="AF259" i="20"/>
  <c r="AF260" i="20"/>
  <c r="AF261" i="20"/>
  <c r="AF262" i="20"/>
  <c r="AF263" i="20"/>
  <c r="AF264" i="20"/>
  <c r="AF265" i="20"/>
  <c r="AF266" i="20"/>
  <c r="AF267" i="20"/>
  <c r="AF268" i="20"/>
  <c r="AF269" i="20"/>
  <c r="AF270" i="20"/>
  <c r="AF271" i="20"/>
  <c r="AF272" i="20"/>
  <c r="AF273" i="20"/>
  <c r="AF274" i="20"/>
  <c r="AF275" i="20"/>
  <c r="AF276" i="20"/>
  <c r="AF277" i="20"/>
  <c r="AF278" i="20"/>
  <c r="AF279" i="20"/>
  <c r="AF280" i="20"/>
  <c r="AG229" i="20"/>
  <c r="AG230" i="20"/>
  <c r="AG231" i="20"/>
  <c r="AG232" i="20"/>
  <c r="AG233" i="20"/>
  <c r="AG234" i="20"/>
  <c r="AG235" i="20"/>
  <c r="AG236" i="20"/>
  <c r="AG237" i="20"/>
  <c r="AG238" i="20"/>
  <c r="AG239" i="20"/>
  <c r="AG240" i="20"/>
  <c r="AG241" i="20"/>
  <c r="AG242" i="20"/>
  <c r="AG243" i="20"/>
  <c r="AG244" i="20"/>
  <c r="AG245" i="20"/>
  <c r="AG246" i="20"/>
  <c r="AG247" i="20"/>
  <c r="AG248" i="20"/>
  <c r="AG249" i="20"/>
  <c r="AG250" i="20"/>
  <c r="AG251" i="20"/>
  <c r="AG252" i="20"/>
  <c r="AG253" i="20"/>
  <c r="AG254" i="20"/>
  <c r="AG255" i="20"/>
  <c r="AG256" i="20"/>
  <c r="AG257" i="20"/>
  <c r="AG258" i="20"/>
  <c r="AG259" i="20"/>
  <c r="AG260" i="20"/>
  <c r="AG261" i="20"/>
  <c r="AG262" i="20"/>
  <c r="AG263" i="20"/>
  <c r="AG264" i="20"/>
  <c r="AG265" i="20"/>
  <c r="AG266" i="20"/>
  <c r="AG267" i="20"/>
  <c r="AG268" i="20"/>
  <c r="AG269" i="20"/>
  <c r="AG270" i="20"/>
  <c r="AG271" i="20"/>
  <c r="AG272" i="20"/>
  <c r="AG273" i="20"/>
  <c r="AG274" i="20"/>
  <c r="AG275" i="20"/>
  <c r="AG276" i="20"/>
  <c r="AG277" i="20"/>
  <c r="AG278" i="20"/>
  <c r="AG279" i="20"/>
  <c r="AG280" i="20"/>
  <c r="AH229" i="20"/>
  <c r="AH230" i="20"/>
  <c r="AH231" i="20"/>
  <c r="AH232" i="20"/>
  <c r="AH233" i="20"/>
  <c r="AH234" i="20"/>
  <c r="AH235" i="20"/>
  <c r="AH236" i="20"/>
  <c r="AH237" i="20"/>
  <c r="AH238" i="20"/>
  <c r="AH239" i="20"/>
  <c r="AH240" i="20"/>
  <c r="AH241" i="20"/>
  <c r="AH242" i="20"/>
  <c r="AH243" i="20"/>
  <c r="AH244" i="20"/>
  <c r="AH245" i="20"/>
  <c r="AH246" i="20"/>
  <c r="AH247" i="20"/>
  <c r="AH248" i="20"/>
  <c r="AH249" i="20"/>
  <c r="AH250" i="20"/>
  <c r="AH251" i="20"/>
  <c r="AH252" i="20"/>
  <c r="AH253" i="20"/>
  <c r="AH254" i="20"/>
  <c r="AH255" i="20"/>
  <c r="AH256" i="20"/>
  <c r="AH257" i="20"/>
  <c r="AH258" i="20"/>
  <c r="AH259" i="20"/>
  <c r="AH260" i="20"/>
  <c r="AH261" i="20"/>
  <c r="AH262" i="20"/>
  <c r="AH263" i="20"/>
  <c r="AH264" i="20"/>
  <c r="AH265" i="20"/>
  <c r="AH266" i="20"/>
  <c r="AH267" i="20"/>
  <c r="AH268" i="20"/>
  <c r="AH269" i="20"/>
  <c r="AH270" i="20"/>
  <c r="AH271" i="20"/>
  <c r="AH272" i="20"/>
  <c r="AH273" i="20"/>
  <c r="AH274" i="20"/>
  <c r="AH275" i="20"/>
  <c r="AH276" i="20"/>
  <c r="AH277" i="20"/>
  <c r="AH278" i="20"/>
  <c r="AH279" i="20"/>
  <c r="AH280"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262" i="20"/>
  <c r="AI263" i="20"/>
  <c r="AI264" i="20"/>
  <c r="AI265" i="20"/>
  <c r="AI266" i="20"/>
  <c r="AI267" i="20"/>
  <c r="AI268" i="20"/>
  <c r="AI269" i="20"/>
  <c r="AI270" i="20"/>
  <c r="AI271" i="20"/>
  <c r="AI272" i="20"/>
  <c r="AI273" i="20"/>
  <c r="AI274" i="20"/>
  <c r="AI275" i="20"/>
  <c r="AI276" i="20"/>
  <c r="AI277" i="20"/>
  <c r="AI278" i="20"/>
  <c r="AI279" i="20"/>
  <c r="AI280" i="20"/>
  <c r="AJ229" i="20"/>
  <c r="AJ230" i="20"/>
  <c r="AJ231" i="20"/>
  <c r="AJ232" i="20"/>
  <c r="AJ233" i="20"/>
  <c r="AJ234" i="20"/>
  <c r="AJ235" i="20"/>
  <c r="AJ236" i="20"/>
  <c r="AJ237" i="20"/>
  <c r="AJ238" i="20"/>
  <c r="AJ239" i="20"/>
  <c r="AJ240" i="20"/>
  <c r="AJ241" i="20"/>
  <c r="AJ242" i="20"/>
  <c r="AJ243" i="20"/>
  <c r="AJ244" i="20"/>
  <c r="AJ245" i="20"/>
  <c r="AJ246" i="20"/>
  <c r="AJ247" i="20"/>
  <c r="AJ248" i="20"/>
  <c r="AJ249" i="20"/>
  <c r="AJ250" i="20"/>
  <c r="AJ251" i="20"/>
  <c r="AJ252" i="20"/>
  <c r="AJ253" i="20"/>
  <c r="AJ254" i="20"/>
  <c r="AJ255" i="20"/>
  <c r="AJ256" i="20"/>
  <c r="AJ257" i="20"/>
  <c r="AJ258" i="20"/>
  <c r="AJ259" i="20"/>
  <c r="AJ260" i="20"/>
  <c r="AJ261" i="20"/>
  <c r="AJ262" i="20"/>
  <c r="AJ263" i="20"/>
  <c r="AJ264" i="20"/>
  <c r="AJ265" i="20"/>
  <c r="AJ266" i="20"/>
  <c r="AJ267" i="20"/>
  <c r="AJ268" i="20"/>
  <c r="AJ269" i="20"/>
  <c r="AJ270" i="20"/>
  <c r="AJ271" i="20"/>
  <c r="AJ272" i="20"/>
  <c r="AJ273" i="20"/>
  <c r="AJ274" i="20"/>
  <c r="AJ275" i="20"/>
  <c r="AJ276" i="20"/>
  <c r="AJ277" i="20"/>
  <c r="AJ278" i="20"/>
  <c r="AJ279" i="20"/>
  <c r="AJ280" i="20"/>
  <c r="AK229" i="20"/>
  <c r="AK230" i="20"/>
  <c r="AK231" i="20"/>
  <c r="AK232" i="20"/>
  <c r="AK233" i="20"/>
  <c r="AK234" i="20"/>
  <c r="AK235" i="20"/>
  <c r="AK236" i="20"/>
  <c r="AK237" i="20"/>
  <c r="AK238" i="20"/>
  <c r="AK239" i="20"/>
  <c r="AK240" i="20"/>
  <c r="AK241" i="20"/>
  <c r="AK242" i="20"/>
  <c r="AK243" i="20"/>
  <c r="AK244" i="20"/>
  <c r="AK245" i="20"/>
  <c r="AK246" i="20"/>
  <c r="AK247" i="20"/>
  <c r="AK248" i="20"/>
  <c r="AK249" i="20"/>
  <c r="AK250" i="20"/>
  <c r="AK251" i="20"/>
  <c r="AK252" i="20"/>
  <c r="AK253" i="20"/>
  <c r="AK254" i="20"/>
  <c r="AK255" i="20"/>
  <c r="AK256" i="20"/>
  <c r="AK257" i="20"/>
  <c r="AK258" i="20"/>
  <c r="AK259" i="20"/>
  <c r="AK260" i="20"/>
  <c r="AK261" i="20"/>
  <c r="AK262" i="20"/>
  <c r="AK263" i="20"/>
  <c r="AK264" i="20"/>
  <c r="AK265" i="20"/>
  <c r="AK266" i="20"/>
  <c r="AK267" i="20"/>
  <c r="AK268" i="20"/>
  <c r="AK269" i="20"/>
  <c r="AK270" i="20"/>
  <c r="AK271" i="20"/>
  <c r="AK272" i="20"/>
  <c r="AK273" i="20"/>
  <c r="AK274" i="20"/>
  <c r="AK275" i="20"/>
  <c r="AK276" i="20"/>
  <c r="AK277" i="20"/>
  <c r="AK278" i="20"/>
  <c r="AK279" i="20"/>
  <c r="AK280" i="20"/>
  <c r="AL229" i="20"/>
  <c r="AL230" i="20"/>
  <c r="AL231" i="20"/>
  <c r="AL232" i="20"/>
  <c r="AL233" i="20"/>
  <c r="AL234" i="20"/>
  <c r="AL235" i="20"/>
  <c r="AL236" i="20"/>
  <c r="AL237" i="20"/>
  <c r="AL238" i="20"/>
  <c r="AL239" i="20"/>
  <c r="AL240" i="20"/>
  <c r="AL241" i="20"/>
  <c r="AL242" i="20"/>
  <c r="AL243" i="20"/>
  <c r="AL244" i="20"/>
  <c r="AL245" i="20"/>
  <c r="AL246" i="20"/>
  <c r="AL247" i="20"/>
  <c r="AL248" i="20"/>
  <c r="AL249" i="20"/>
  <c r="AL250" i="20"/>
  <c r="AL251" i="20"/>
  <c r="AL252" i="20"/>
  <c r="AL253" i="20"/>
  <c r="AL254" i="20"/>
  <c r="AL255" i="20"/>
  <c r="AL256" i="20"/>
  <c r="AL257" i="20"/>
  <c r="AL258" i="20"/>
  <c r="AL259" i="20"/>
  <c r="AL260" i="20"/>
  <c r="AL261" i="20"/>
  <c r="AL262" i="20"/>
  <c r="AL263" i="20"/>
  <c r="AL264" i="20"/>
  <c r="AL265" i="20"/>
  <c r="AL266" i="20"/>
  <c r="AL267" i="20"/>
  <c r="AL268" i="20"/>
  <c r="AL269" i="20"/>
  <c r="AL270" i="20"/>
  <c r="AL271" i="20"/>
  <c r="AL272" i="20"/>
  <c r="AL273" i="20"/>
  <c r="AL274" i="20"/>
  <c r="AL275" i="20"/>
  <c r="AL276" i="20"/>
  <c r="AL277" i="20"/>
  <c r="AL278" i="20"/>
  <c r="AL279" i="20"/>
  <c r="AL280" i="20"/>
  <c r="AP229" i="20"/>
  <c r="AP230" i="20"/>
  <c r="AP231" i="20"/>
  <c r="AP232" i="20"/>
  <c r="AP233" i="20"/>
  <c r="AP234" i="20"/>
  <c r="AP235" i="20"/>
  <c r="AP236" i="20"/>
  <c r="AP237" i="20"/>
  <c r="AP238" i="20"/>
  <c r="AP239" i="20"/>
  <c r="AP240" i="20"/>
  <c r="AP241" i="20"/>
  <c r="AP242" i="20"/>
  <c r="AP243" i="20"/>
  <c r="AP244" i="20"/>
  <c r="AP245" i="20"/>
  <c r="AP246" i="20"/>
  <c r="AP247" i="20"/>
  <c r="AP248" i="20"/>
  <c r="AP249" i="20"/>
  <c r="AP250" i="20"/>
  <c r="AP251" i="20"/>
  <c r="AP252" i="20"/>
  <c r="AP253" i="20"/>
  <c r="AP254" i="20"/>
  <c r="AP255" i="20"/>
  <c r="AP256" i="20"/>
  <c r="AP257" i="20"/>
  <c r="AP258" i="20"/>
  <c r="AP259" i="20"/>
  <c r="AP260" i="20"/>
  <c r="AP261" i="20"/>
  <c r="AP262" i="20"/>
  <c r="AP263" i="20"/>
  <c r="AP264" i="20"/>
  <c r="AP265" i="20"/>
  <c r="AP266" i="20"/>
  <c r="AP267" i="20"/>
  <c r="AP268" i="20"/>
  <c r="AP269" i="20"/>
  <c r="AP270" i="20"/>
  <c r="AP271" i="20"/>
  <c r="AP272" i="20"/>
  <c r="AP273" i="20"/>
  <c r="AP274" i="20"/>
  <c r="AP275" i="20"/>
  <c r="AP276" i="20"/>
  <c r="AP277" i="20"/>
  <c r="AP278" i="20"/>
  <c r="AP279" i="20"/>
  <c r="AP280" i="20"/>
  <c r="AT229" i="20"/>
  <c r="AT230" i="20"/>
  <c r="AT231" i="20"/>
  <c r="AT232" i="20"/>
  <c r="AT233" i="20"/>
  <c r="AT234" i="20"/>
  <c r="AT235" i="20"/>
  <c r="AT236" i="20"/>
  <c r="AT237" i="20"/>
  <c r="AT238" i="20"/>
  <c r="AT239" i="20"/>
  <c r="AT240" i="20"/>
  <c r="AT241" i="20"/>
  <c r="AT242" i="20"/>
  <c r="AT243" i="20"/>
  <c r="AT244" i="20"/>
  <c r="AT245" i="20"/>
  <c r="AT246" i="20"/>
  <c r="AT247" i="20"/>
  <c r="AT248" i="20"/>
  <c r="AT249" i="20"/>
  <c r="AT250" i="20"/>
  <c r="AT251" i="20"/>
  <c r="AT252" i="20"/>
  <c r="AT253" i="20"/>
  <c r="AT254" i="20"/>
  <c r="AT255" i="20"/>
  <c r="AT256" i="20"/>
  <c r="AT257" i="20"/>
  <c r="AT258" i="20"/>
  <c r="AT259" i="20"/>
  <c r="AT260" i="20"/>
  <c r="AT261" i="20"/>
  <c r="AT262" i="20"/>
  <c r="AT263" i="20"/>
  <c r="AT264" i="20"/>
  <c r="AT265" i="20"/>
  <c r="AT266" i="20"/>
  <c r="AT267" i="20"/>
  <c r="AT268" i="20"/>
  <c r="AT269" i="20"/>
  <c r="AT270" i="20"/>
  <c r="AT271" i="20"/>
  <c r="AT272" i="20"/>
  <c r="AT273" i="20"/>
  <c r="AT274" i="20"/>
  <c r="AT275" i="20"/>
  <c r="AT276" i="20"/>
  <c r="AT277" i="20"/>
  <c r="AT278" i="20"/>
  <c r="AT279" i="20"/>
  <c r="AT280" i="20"/>
  <c r="BG20" i="95" l="1"/>
  <c r="BH20" i="95"/>
  <c r="BI20" i="95"/>
  <c r="BJ20" i="95"/>
  <c r="BK20" i="95"/>
  <c r="BL20" i="95"/>
  <c r="BM20" i="95"/>
  <c r="BN20" i="95"/>
  <c r="AY20" i="95"/>
  <c r="AZ20" i="95"/>
  <c r="BA20" i="95"/>
  <c r="BB20" i="95"/>
  <c r="BC20" i="95"/>
  <c r="BD20" i="95"/>
  <c r="BE20" i="95"/>
  <c r="BF20" i="95"/>
  <c r="H20" i="95"/>
  <c r="I20" i="95"/>
  <c r="J20" i="95"/>
  <c r="K20" i="95"/>
  <c r="L20" i="95"/>
  <c r="M20" i="95"/>
  <c r="N20" i="95"/>
  <c r="O20" i="95"/>
  <c r="P20" i="95"/>
  <c r="Q20" i="95"/>
  <c r="R20" i="95"/>
  <c r="S20" i="95"/>
  <c r="T20" i="95"/>
  <c r="U20" i="95"/>
  <c r="V20" i="95"/>
  <c r="W20" i="95"/>
  <c r="X20" i="95"/>
  <c r="Y20" i="95"/>
  <c r="Z20" i="95"/>
  <c r="AA20" i="95"/>
  <c r="AB20" i="95"/>
  <c r="AC20" i="95"/>
  <c r="AD20" i="95"/>
  <c r="AE20" i="95"/>
  <c r="AF20" i="95"/>
  <c r="AG20" i="95"/>
  <c r="AH20" i="95"/>
  <c r="AI20" i="95"/>
  <c r="AJ20" i="95"/>
  <c r="AK20" i="95"/>
  <c r="AL20" i="95"/>
  <c r="AM20" i="95"/>
  <c r="AN20" i="95"/>
  <c r="AO20" i="95"/>
  <c r="AP20" i="95"/>
  <c r="AQ20" i="95"/>
  <c r="AR20" i="95"/>
  <c r="AS20" i="95"/>
  <c r="AT20" i="95"/>
  <c r="AU20" i="95"/>
  <c r="AV20" i="95"/>
  <c r="AW20" i="95"/>
  <c r="G20" i="95"/>
  <c r="C224" i="20"/>
  <c r="C225" i="20"/>
  <c r="C226" i="20"/>
  <c r="C227" i="20"/>
  <c r="C228" i="20"/>
  <c r="AC224" i="20"/>
  <c r="AC225" i="20"/>
  <c r="AC226" i="20"/>
  <c r="AC227" i="20"/>
  <c r="AC228" i="20"/>
  <c r="AD224" i="20"/>
  <c r="AD225" i="20"/>
  <c r="AD226" i="20"/>
  <c r="AD227" i="20"/>
  <c r="AD228" i="20"/>
  <c r="AE224" i="20"/>
  <c r="AE225" i="20"/>
  <c r="AE226" i="20"/>
  <c r="AE227" i="20"/>
  <c r="AE228" i="20"/>
  <c r="AF224" i="20"/>
  <c r="AF225" i="20"/>
  <c r="AF226" i="20"/>
  <c r="AF227" i="20"/>
  <c r="AF228" i="20"/>
  <c r="AG224" i="20"/>
  <c r="AG225" i="20"/>
  <c r="AG226" i="20"/>
  <c r="AG227" i="20"/>
  <c r="AG228" i="20"/>
  <c r="AH224" i="20"/>
  <c r="AH225" i="20"/>
  <c r="AH226" i="20"/>
  <c r="AH227" i="20"/>
  <c r="AH228" i="20"/>
  <c r="AI224" i="20"/>
  <c r="AI225" i="20"/>
  <c r="AI226" i="20"/>
  <c r="AI227" i="20"/>
  <c r="AI228" i="20"/>
  <c r="AJ224" i="20"/>
  <c r="AJ225" i="20"/>
  <c r="AJ226" i="20"/>
  <c r="AJ227" i="20"/>
  <c r="AJ228" i="20"/>
  <c r="AK224" i="20"/>
  <c r="AK225" i="20"/>
  <c r="AK226" i="20"/>
  <c r="AK227" i="20"/>
  <c r="AK228" i="20"/>
  <c r="AL224" i="20"/>
  <c r="AL225" i="20"/>
  <c r="AL226" i="20"/>
  <c r="AL227" i="20"/>
  <c r="AL228" i="20"/>
  <c r="AP224" i="20"/>
  <c r="AP225" i="20"/>
  <c r="AP226" i="20"/>
  <c r="AP227" i="20"/>
  <c r="AP228" i="20"/>
  <c r="AT224" i="20"/>
  <c r="AT225" i="20"/>
  <c r="AT226" i="20"/>
  <c r="AT227" i="20"/>
  <c r="AT228" i="20"/>
  <c r="C223" i="20" l="1"/>
  <c r="AC223" i="20"/>
  <c r="AD223" i="20"/>
  <c r="AE223" i="20"/>
  <c r="AF223" i="20"/>
  <c r="AG223" i="20"/>
  <c r="AH223" i="20"/>
  <c r="AI223" i="20"/>
  <c r="AJ223" i="20"/>
  <c r="AK223" i="20"/>
  <c r="AL223" i="20"/>
  <c r="AP223" i="20"/>
  <c r="AT223" i="20"/>
  <c r="AC222" i="20" l="1"/>
  <c r="AD222" i="20"/>
  <c r="AE222" i="20"/>
  <c r="AF222" i="20"/>
  <c r="AG222" i="20"/>
  <c r="AH222" i="20"/>
  <c r="AI222" i="20"/>
  <c r="AJ222" i="20"/>
  <c r="AK222" i="20"/>
  <c r="AL222" i="20"/>
  <c r="AP222" i="20"/>
  <c r="AT222" i="20"/>
  <c r="C221" i="20"/>
  <c r="AC221" i="20"/>
  <c r="AD221" i="20"/>
  <c r="AE221" i="20"/>
  <c r="AF221" i="20"/>
  <c r="AG221" i="20"/>
  <c r="AH221" i="20"/>
  <c r="AI221" i="20"/>
  <c r="AJ221" i="20"/>
  <c r="AK221" i="20"/>
  <c r="AL221" i="20"/>
  <c r="AP221" i="20"/>
  <c r="AT221" i="20"/>
  <c r="C220" i="20"/>
  <c r="AC220" i="20"/>
  <c r="AD220" i="20"/>
  <c r="AE220" i="20"/>
  <c r="AF220" i="20"/>
  <c r="AG220" i="20"/>
  <c r="AH220" i="20"/>
  <c r="AI220" i="20"/>
  <c r="AJ220" i="20"/>
  <c r="AK220" i="20"/>
  <c r="AL220" i="20"/>
  <c r="AP220" i="20"/>
  <c r="AT220" i="20"/>
  <c r="C219" i="20"/>
  <c r="AC219" i="20"/>
  <c r="AD219" i="20"/>
  <c r="AE219" i="20"/>
  <c r="AF219" i="20"/>
  <c r="AG219" i="20"/>
  <c r="AH219" i="20"/>
  <c r="AI219" i="20"/>
  <c r="AJ219" i="20"/>
  <c r="AK219" i="20"/>
  <c r="AL219" i="20"/>
  <c r="AP219" i="20"/>
  <c r="AT219" i="20"/>
  <c r="C218" i="20"/>
  <c r="AC218" i="20"/>
  <c r="AD218" i="20"/>
  <c r="AE218" i="20"/>
  <c r="AF218" i="20"/>
  <c r="AG218" i="20"/>
  <c r="AH218" i="20"/>
  <c r="AI218" i="20"/>
  <c r="AJ218" i="20"/>
  <c r="AK218" i="20"/>
  <c r="AL218" i="20"/>
  <c r="AP218" i="20"/>
  <c r="AT218" i="20"/>
  <c r="C217" i="20"/>
  <c r="AC217" i="20"/>
  <c r="AD217" i="20"/>
  <c r="AE217" i="20"/>
  <c r="AF217" i="20"/>
  <c r="AG217" i="20"/>
  <c r="AH217" i="20"/>
  <c r="AI217" i="20"/>
  <c r="AJ217" i="20"/>
  <c r="AK217" i="20"/>
  <c r="AL217" i="20"/>
  <c r="AP217" i="20"/>
  <c r="AT217" i="20"/>
  <c r="C216" i="20"/>
  <c r="AC216" i="20"/>
  <c r="AD216" i="20"/>
  <c r="AE216" i="20"/>
  <c r="AF216" i="20"/>
  <c r="AG216" i="20"/>
  <c r="AH216" i="20"/>
  <c r="AI216" i="20"/>
  <c r="AJ216" i="20"/>
  <c r="AK216" i="20"/>
  <c r="AL216" i="20"/>
  <c r="AP216" i="20"/>
  <c r="AT216" i="20"/>
  <c r="C215" i="20"/>
  <c r="AC215" i="20"/>
  <c r="AD215" i="20"/>
  <c r="AE215" i="20"/>
  <c r="AF215" i="20"/>
  <c r="AG215" i="20"/>
  <c r="AH215" i="20"/>
  <c r="AI215" i="20"/>
  <c r="AJ215" i="20"/>
  <c r="AK215" i="20"/>
  <c r="AL215" i="20"/>
  <c r="AP215" i="20"/>
  <c r="AT215" i="20"/>
  <c r="AC214" i="20" l="1"/>
  <c r="AD214" i="20"/>
  <c r="AE214" i="20"/>
  <c r="AF214" i="20"/>
  <c r="AG214" i="20"/>
  <c r="AH214" i="20"/>
  <c r="AI214" i="20"/>
  <c r="AJ214" i="20"/>
  <c r="AK214" i="20"/>
  <c r="AL214" i="20"/>
  <c r="AP214" i="20"/>
  <c r="AT214" i="20"/>
  <c r="AC213" i="20"/>
  <c r="AD213" i="20"/>
  <c r="AE213" i="20"/>
  <c r="AF213" i="20"/>
  <c r="AG213" i="20"/>
  <c r="AH213" i="20"/>
  <c r="AI213" i="20"/>
  <c r="AJ213" i="20"/>
  <c r="AK213" i="20"/>
  <c r="AL213" i="20"/>
  <c r="AP213" i="20"/>
  <c r="AT213" i="20"/>
  <c r="B3" i="14"/>
  <c r="U120" i="19" l="1"/>
  <c r="V120" i="19"/>
  <c r="W120" i="19"/>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l="1"/>
  <c r="B3" i="20"/>
  <c r="B3" i="62"/>
  <c r="S8" i="19" l="1"/>
  <c r="AC212" i="20" l="1"/>
  <c r="AD212" i="20"/>
  <c r="AE212" i="20"/>
  <c r="AF212" i="20"/>
  <c r="AG212" i="20"/>
  <c r="AH212" i="20"/>
  <c r="AI212" i="20"/>
  <c r="AJ212" i="20"/>
  <c r="AK212" i="20"/>
  <c r="AL212" i="20"/>
  <c r="AP212" i="20"/>
  <c r="AT212" i="20"/>
  <c r="AC211" i="20"/>
  <c r="AD211" i="20"/>
  <c r="AE211" i="20"/>
  <c r="AF211" i="20"/>
  <c r="AG211" i="20"/>
  <c r="AH211" i="20"/>
  <c r="AI211" i="20"/>
  <c r="AJ211" i="20"/>
  <c r="AK211" i="20"/>
  <c r="AL211" i="20"/>
  <c r="AP211" i="20"/>
  <c r="AT211" i="20"/>
  <c r="AC210" i="20"/>
  <c r="AD210" i="20"/>
  <c r="AE210" i="20"/>
  <c r="AF210" i="20"/>
  <c r="AG210" i="20"/>
  <c r="AH210" i="20"/>
  <c r="AI210" i="20"/>
  <c r="AJ210" i="20"/>
  <c r="AK210" i="20"/>
  <c r="AL210" i="20"/>
  <c r="AP210" i="20"/>
  <c r="AT210" i="20"/>
  <c r="AC209" i="20"/>
  <c r="AD209" i="20"/>
  <c r="AE209" i="20"/>
  <c r="AF209" i="20"/>
  <c r="AG209" i="20"/>
  <c r="AH209" i="20"/>
  <c r="AI209" i="20"/>
  <c r="AJ209" i="20"/>
  <c r="AK209" i="20"/>
  <c r="AL209" i="20"/>
  <c r="AP209" i="20"/>
  <c r="AT209" i="20"/>
  <c r="AC208" i="20"/>
  <c r="AD208" i="20"/>
  <c r="AE208" i="20"/>
  <c r="AF208" i="20"/>
  <c r="AG208" i="20"/>
  <c r="AH208" i="20"/>
  <c r="AI208" i="20"/>
  <c r="AJ208" i="20"/>
  <c r="AK208" i="20"/>
  <c r="AL208" i="20"/>
  <c r="AP208" i="20"/>
  <c r="AT208" i="20"/>
  <c r="AC207" i="20"/>
  <c r="AD207" i="20"/>
  <c r="AE207" i="20"/>
  <c r="AF207" i="20"/>
  <c r="AG207" i="20"/>
  <c r="AH207" i="20"/>
  <c r="AI207" i="20"/>
  <c r="AJ207" i="20"/>
  <c r="AK207" i="20"/>
  <c r="AL207" i="20"/>
  <c r="AP207" i="20"/>
  <c r="AT207" i="20"/>
  <c r="AC206" i="20"/>
  <c r="AD206" i="20"/>
  <c r="AE206" i="20"/>
  <c r="AF206" i="20"/>
  <c r="AG206" i="20"/>
  <c r="AH206" i="20"/>
  <c r="AI206" i="20"/>
  <c r="AJ206" i="20"/>
  <c r="AK206" i="20"/>
  <c r="AL206" i="20"/>
  <c r="AP206" i="20"/>
  <c r="AT206" i="20"/>
  <c r="AC205" i="20"/>
  <c r="AD205" i="20"/>
  <c r="AE205" i="20"/>
  <c r="AF205" i="20"/>
  <c r="AG205" i="20"/>
  <c r="AH205" i="20"/>
  <c r="AI205" i="20"/>
  <c r="AJ205" i="20"/>
  <c r="AK205" i="20"/>
  <c r="AL205" i="20"/>
  <c r="AP205" i="20"/>
  <c r="AT205" i="20"/>
  <c r="AC204" i="20"/>
  <c r="AD204" i="20"/>
  <c r="AE204" i="20"/>
  <c r="AF204" i="20"/>
  <c r="AG204" i="20"/>
  <c r="AH204" i="20"/>
  <c r="AI204" i="20"/>
  <c r="AJ204" i="20"/>
  <c r="AK204" i="20"/>
  <c r="AL204" i="20"/>
  <c r="AP204" i="20"/>
  <c r="AT204" i="20"/>
  <c r="AC203" i="20"/>
  <c r="AD203" i="20"/>
  <c r="AE203" i="20"/>
  <c r="AF203" i="20"/>
  <c r="AG203" i="20"/>
  <c r="AH203" i="20"/>
  <c r="AI203" i="20"/>
  <c r="AJ203" i="20"/>
  <c r="AK203" i="20"/>
  <c r="AL203" i="20"/>
  <c r="AP203" i="20"/>
  <c r="AT203" i="20"/>
  <c r="AC202" i="20"/>
  <c r="AD202" i="20"/>
  <c r="AE202" i="20"/>
  <c r="AF202" i="20"/>
  <c r="AG202" i="20"/>
  <c r="AH202" i="20"/>
  <c r="AI202" i="20"/>
  <c r="AJ202" i="20"/>
  <c r="AK202" i="20"/>
  <c r="AL202" i="20"/>
  <c r="AP202" i="20"/>
  <c r="AT202" i="20"/>
  <c r="AC201" i="20"/>
  <c r="AD201" i="20"/>
  <c r="AE201" i="20"/>
  <c r="AF201" i="20"/>
  <c r="AG201" i="20"/>
  <c r="AH201" i="20"/>
  <c r="AI201" i="20"/>
  <c r="AJ201" i="20"/>
  <c r="AK201" i="20"/>
  <c r="AL201" i="20"/>
  <c r="AP201" i="20"/>
  <c r="AT201" i="20"/>
  <c r="AC200" i="20"/>
  <c r="AD200" i="20"/>
  <c r="AE200" i="20"/>
  <c r="AF200" i="20"/>
  <c r="AG200" i="20"/>
  <c r="AH200" i="20"/>
  <c r="AI200" i="20"/>
  <c r="AJ200" i="20"/>
  <c r="AK200" i="20"/>
  <c r="AL200" i="20"/>
  <c r="AP200" i="20"/>
  <c r="AT200" i="20"/>
  <c r="AC199" i="20"/>
  <c r="AD199" i="20"/>
  <c r="AE199" i="20"/>
  <c r="AF199" i="20"/>
  <c r="AG199" i="20"/>
  <c r="AH199" i="20"/>
  <c r="AI199" i="20"/>
  <c r="AJ199" i="20"/>
  <c r="AK199" i="20"/>
  <c r="AL199" i="20"/>
  <c r="AP199" i="20"/>
  <c r="AT199" i="20"/>
  <c r="AC198" i="20"/>
  <c r="AD198" i="20"/>
  <c r="AE198" i="20"/>
  <c r="AF198" i="20"/>
  <c r="AG198" i="20"/>
  <c r="AH198" i="20"/>
  <c r="AI198" i="20"/>
  <c r="AJ198" i="20"/>
  <c r="AK198" i="20"/>
  <c r="AL198" i="20"/>
  <c r="AP198" i="20"/>
  <c r="AT198" i="20"/>
  <c r="AC197" i="20"/>
  <c r="AD197" i="20"/>
  <c r="AE197" i="20"/>
  <c r="AF197" i="20"/>
  <c r="AG197" i="20"/>
  <c r="AH197" i="20"/>
  <c r="AI197" i="20"/>
  <c r="AJ197" i="20"/>
  <c r="AK197" i="20"/>
  <c r="AL197" i="20"/>
  <c r="AP197" i="20"/>
  <c r="AT197" i="20"/>
  <c r="AC196" i="20"/>
  <c r="AD196" i="20"/>
  <c r="AE196" i="20"/>
  <c r="AF196" i="20"/>
  <c r="AG196" i="20"/>
  <c r="AH196" i="20"/>
  <c r="AI196" i="20"/>
  <c r="AJ196" i="20"/>
  <c r="AK196" i="20"/>
  <c r="AL196" i="20"/>
  <c r="AP196" i="20"/>
  <c r="AT196" i="20"/>
  <c r="AC195" i="20"/>
  <c r="AD195" i="20"/>
  <c r="AE195" i="20"/>
  <c r="AF195" i="20"/>
  <c r="AG195" i="20"/>
  <c r="AH195" i="20"/>
  <c r="AI195" i="20"/>
  <c r="AJ195" i="20"/>
  <c r="AK195" i="20"/>
  <c r="AL195" i="20"/>
  <c r="AP195" i="20"/>
  <c r="AT195" i="20"/>
  <c r="AC194" i="20"/>
  <c r="AD194" i="20"/>
  <c r="AE194" i="20"/>
  <c r="AF194" i="20"/>
  <c r="AG194" i="20"/>
  <c r="AH194" i="20"/>
  <c r="AI194" i="20"/>
  <c r="AJ194" i="20"/>
  <c r="AK194" i="20"/>
  <c r="AL194" i="20"/>
  <c r="AP194" i="20"/>
  <c r="AT194" i="20"/>
  <c r="AC193" i="20"/>
  <c r="AD193" i="20"/>
  <c r="AE193" i="20"/>
  <c r="AF193" i="20"/>
  <c r="AG193" i="20"/>
  <c r="AH193" i="20"/>
  <c r="AI193" i="20"/>
  <c r="AJ193" i="20"/>
  <c r="AK193" i="20"/>
  <c r="AL193" i="20"/>
  <c r="AP193" i="20"/>
  <c r="AT193" i="20"/>
  <c r="AC192" i="20"/>
  <c r="AD192" i="20"/>
  <c r="AE192" i="20"/>
  <c r="AF192" i="20"/>
  <c r="AG192" i="20"/>
  <c r="AH192" i="20"/>
  <c r="AI192" i="20"/>
  <c r="AJ192" i="20"/>
  <c r="AK192" i="20"/>
  <c r="AL192" i="20"/>
  <c r="AP192" i="20"/>
  <c r="AT192" i="20"/>
  <c r="AC191" i="20"/>
  <c r="AD191" i="20"/>
  <c r="AE191" i="20"/>
  <c r="AF191" i="20"/>
  <c r="AG191" i="20"/>
  <c r="AH191" i="20"/>
  <c r="AI191" i="20"/>
  <c r="AJ191" i="20"/>
  <c r="AK191" i="20"/>
  <c r="AL191" i="20"/>
  <c r="AP191" i="20"/>
  <c r="AT191" i="20"/>
  <c r="AC190" i="20"/>
  <c r="AD190" i="20"/>
  <c r="AE190" i="20"/>
  <c r="AF190" i="20"/>
  <c r="AG190" i="20"/>
  <c r="AH190" i="20"/>
  <c r="AI190" i="20"/>
  <c r="AJ190" i="20"/>
  <c r="AK190" i="20"/>
  <c r="AL190" i="20"/>
  <c r="AP190" i="20"/>
  <c r="AT190" i="20"/>
  <c r="AC189" i="20"/>
  <c r="AD189" i="20"/>
  <c r="AE189" i="20"/>
  <c r="AF189" i="20"/>
  <c r="AG189" i="20"/>
  <c r="AH189" i="20"/>
  <c r="AI189" i="20"/>
  <c r="AJ189" i="20"/>
  <c r="AK189" i="20"/>
  <c r="AL189" i="20"/>
  <c r="AP189" i="20"/>
  <c r="AT189" i="20"/>
  <c r="AC188" i="20"/>
  <c r="AD188" i="20"/>
  <c r="AE188" i="20"/>
  <c r="AF188" i="20"/>
  <c r="AG188" i="20"/>
  <c r="AH188" i="20"/>
  <c r="AI188" i="20"/>
  <c r="AJ188" i="20"/>
  <c r="AK188" i="20"/>
  <c r="AL188" i="20"/>
  <c r="AP188" i="20"/>
  <c r="AT188" i="20"/>
  <c r="AC187" i="20"/>
  <c r="AD187" i="20"/>
  <c r="AE187" i="20"/>
  <c r="AF187" i="20"/>
  <c r="AG187" i="20"/>
  <c r="AH187" i="20"/>
  <c r="AI187" i="20"/>
  <c r="AJ187" i="20"/>
  <c r="AK187" i="20"/>
  <c r="AL187" i="20"/>
  <c r="AP187" i="20"/>
  <c r="AT187" i="20"/>
  <c r="AC186" i="20"/>
  <c r="AD186" i="20"/>
  <c r="AE186" i="20"/>
  <c r="AF186" i="20"/>
  <c r="AG186" i="20"/>
  <c r="AH186" i="20"/>
  <c r="AI186" i="20"/>
  <c r="AJ186" i="20"/>
  <c r="AK186" i="20"/>
  <c r="AL186" i="20"/>
  <c r="AP186" i="20"/>
  <c r="AT186" i="20"/>
  <c r="AC185" i="20"/>
  <c r="AD185" i="20"/>
  <c r="AE185" i="20"/>
  <c r="AF185" i="20"/>
  <c r="AG185" i="20"/>
  <c r="AH185" i="20"/>
  <c r="AI185" i="20"/>
  <c r="AJ185" i="20"/>
  <c r="AK185" i="20"/>
  <c r="AL185" i="20"/>
  <c r="AP185" i="20"/>
  <c r="AT185" i="20"/>
  <c r="N69" i="19"/>
  <c r="N71" i="19" s="1"/>
  <c r="M69" i="19"/>
  <c r="M71" i="19" s="1"/>
  <c r="O100" i="19"/>
  <c r="M100" i="19"/>
  <c r="P100" i="19"/>
  <c r="M15" i="19"/>
  <c r="O15" i="19"/>
  <c r="P15" i="19"/>
  <c r="M21" i="19"/>
  <c r="O21" i="19"/>
  <c r="P21" i="19"/>
  <c r="M43" i="19"/>
  <c r="O43" i="19"/>
  <c r="P43" i="19"/>
  <c r="M45" i="19"/>
  <c r="O45" i="19"/>
  <c r="P45" i="19"/>
  <c r="M47" i="19"/>
  <c r="O47" i="19"/>
  <c r="P47" i="19"/>
  <c r="M61" i="19"/>
  <c r="O61" i="19"/>
  <c r="P61" i="19"/>
  <c r="O71" i="19"/>
  <c r="P71" i="19"/>
  <c r="M75" i="19"/>
  <c r="O75" i="19"/>
  <c r="P75" i="19"/>
  <c r="M84" i="19"/>
  <c r="O84" i="19"/>
  <c r="P84" i="19"/>
  <c r="M104" i="19"/>
  <c r="O104" i="19"/>
  <c r="P104" i="19"/>
  <c r="M129" i="19"/>
  <c r="P129" i="19"/>
  <c r="O129" i="19"/>
  <c r="M136" i="19"/>
  <c r="O136" i="19"/>
  <c r="P136" i="19"/>
  <c r="M141" i="19"/>
  <c r="O141" i="19"/>
  <c r="P141" i="19"/>
  <c r="M144" i="19"/>
  <c r="O144" i="19"/>
  <c r="P144" i="19"/>
  <c r="M147" i="19"/>
  <c r="O147" i="19"/>
  <c r="P147" i="19"/>
  <c r="M150" i="19"/>
  <c r="O150" i="19"/>
  <c r="P150" i="19"/>
  <c r="M172" i="19"/>
  <c r="O172" i="19"/>
  <c r="P172" i="19"/>
  <c r="H100" i="19"/>
  <c r="J100" i="19"/>
  <c r="K100" i="19"/>
  <c r="H15" i="19"/>
  <c r="J15" i="19"/>
  <c r="K15" i="19"/>
  <c r="H21" i="19"/>
  <c r="J21" i="19"/>
  <c r="K21" i="19"/>
  <c r="H43" i="19"/>
  <c r="J43" i="19"/>
  <c r="K43" i="19"/>
  <c r="H45" i="19"/>
  <c r="J45" i="19"/>
  <c r="K45" i="19"/>
  <c r="H47" i="19"/>
  <c r="J47" i="19"/>
  <c r="K47" i="19"/>
  <c r="H61" i="19"/>
  <c r="J61" i="19"/>
  <c r="K61" i="19"/>
  <c r="H71" i="19"/>
  <c r="J71" i="19"/>
  <c r="K71" i="19"/>
  <c r="H75" i="19"/>
  <c r="J75" i="19"/>
  <c r="K75" i="19"/>
  <c r="H84" i="19"/>
  <c r="J84" i="19"/>
  <c r="K84" i="19"/>
  <c r="H87" i="19"/>
  <c r="J87" i="19"/>
  <c r="K87" i="19"/>
  <c r="H104" i="19"/>
  <c r="J104" i="19"/>
  <c r="K104" i="19"/>
  <c r="H129" i="19"/>
  <c r="J129" i="19"/>
  <c r="K129" i="19"/>
  <c r="H136" i="19"/>
  <c r="J136" i="19"/>
  <c r="K136" i="19"/>
  <c r="H141" i="19"/>
  <c r="J141" i="19"/>
  <c r="K141" i="19"/>
  <c r="H144" i="19"/>
  <c r="J144" i="19"/>
  <c r="K144" i="19"/>
  <c r="H147" i="19"/>
  <c r="J147" i="19"/>
  <c r="K147" i="19"/>
  <c r="H150" i="19"/>
  <c r="J150" i="19"/>
  <c r="K150" i="19"/>
  <c r="H172" i="19"/>
  <c r="J172" i="19"/>
  <c r="K172" i="19"/>
  <c r="M87" i="19"/>
  <c r="S5" i="19"/>
  <c r="S6" i="19"/>
  <c r="S7" i="19"/>
  <c r="S9" i="19"/>
  <c r="S10" i="19"/>
  <c r="S11" i="19"/>
  <c r="S12" i="19"/>
  <c r="S13" i="19"/>
  <c r="S14" i="19"/>
  <c r="C3" i="43"/>
  <c r="B4" i="91"/>
  <c r="B5" i="94"/>
  <c r="AT24" i="20"/>
  <c r="AC184" i="20"/>
  <c r="AD184" i="20"/>
  <c r="AE184" i="20"/>
  <c r="AF184" i="20"/>
  <c r="AG184" i="20"/>
  <c r="AH184" i="20"/>
  <c r="AI184" i="20"/>
  <c r="AJ184" i="20"/>
  <c r="AK184" i="20"/>
  <c r="AL184" i="20"/>
  <c r="AP184" i="20"/>
  <c r="AT184" i="20"/>
  <c r="AC183" i="20"/>
  <c r="AD183" i="20"/>
  <c r="AE183" i="20"/>
  <c r="AF183" i="20"/>
  <c r="AG183" i="20"/>
  <c r="AH183" i="20"/>
  <c r="AI183" i="20"/>
  <c r="AJ183" i="20"/>
  <c r="AK183" i="20"/>
  <c r="AL183" i="20"/>
  <c r="AP183" i="20"/>
  <c r="AT183" i="20"/>
  <c r="AC182" i="20"/>
  <c r="AD182" i="20"/>
  <c r="AE182" i="20"/>
  <c r="AF182" i="20"/>
  <c r="AG182" i="20"/>
  <c r="AH182" i="20"/>
  <c r="AI182" i="20"/>
  <c r="AJ182" i="20"/>
  <c r="AK182" i="20"/>
  <c r="AL182" i="20"/>
  <c r="AP182" i="20"/>
  <c r="AT182" i="20"/>
  <c r="AC181" i="20"/>
  <c r="AD181" i="20"/>
  <c r="AE181" i="20"/>
  <c r="AF181" i="20"/>
  <c r="AG181" i="20"/>
  <c r="AH181" i="20"/>
  <c r="AI181" i="20"/>
  <c r="AJ181" i="20"/>
  <c r="AK181" i="20"/>
  <c r="AL181" i="20"/>
  <c r="AP181" i="20"/>
  <c r="AT181" i="20"/>
  <c r="L172" i="19"/>
  <c r="N172" i="19"/>
  <c r="Q172" i="19"/>
  <c r="R172" i="19"/>
  <c r="I172" i="19"/>
  <c r="L150" i="19"/>
  <c r="N150" i="19"/>
  <c r="Q150" i="19"/>
  <c r="R150" i="19"/>
  <c r="I150" i="19"/>
  <c r="L147" i="19"/>
  <c r="N147" i="19"/>
  <c r="Q147" i="19"/>
  <c r="R147" i="19"/>
  <c r="I147" i="19"/>
  <c r="L144" i="19"/>
  <c r="N144" i="19"/>
  <c r="Q144" i="19"/>
  <c r="R144" i="19"/>
  <c r="I144" i="19"/>
  <c r="L141" i="19"/>
  <c r="N141" i="19"/>
  <c r="Q141" i="19"/>
  <c r="R141" i="19"/>
  <c r="I141" i="19"/>
  <c r="L136" i="19"/>
  <c r="N136" i="19"/>
  <c r="Q136" i="19"/>
  <c r="R136" i="19"/>
  <c r="I136" i="19"/>
  <c r="I129" i="19"/>
  <c r="L129" i="19"/>
  <c r="N129" i="19"/>
  <c r="Q129" i="19"/>
  <c r="R129" i="19"/>
  <c r="I104" i="19"/>
  <c r="L104" i="19"/>
  <c r="N104" i="19"/>
  <c r="Q104" i="19"/>
  <c r="R104" i="19"/>
  <c r="I100" i="19"/>
  <c r="L100" i="19"/>
  <c r="N100" i="19"/>
  <c r="Q100" i="19"/>
  <c r="R100" i="19"/>
  <c r="I87" i="19"/>
  <c r="L87" i="19"/>
  <c r="N87" i="19"/>
  <c r="O87" i="19"/>
  <c r="P87" i="19"/>
  <c r="Q87" i="19"/>
  <c r="R87" i="19"/>
  <c r="I84" i="19"/>
  <c r="L84" i="19"/>
  <c r="N84" i="19"/>
  <c r="Q84" i="19"/>
  <c r="R84" i="19"/>
  <c r="I75" i="19"/>
  <c r="L75" i="19"/>
  <c r="N75" i="19"/>
  <c r="Q75" i="19"/>
  <c r="R75" i="19"/>
  <c r="I71" i="19"/>
  <c r="L71" i="19"/>
  <c r="Q71" i="19"/>
  <c r="R71" i="19"/>
  <c r="I61" i="19"/>
  <c r="L61" i="19"/>
  <c r="N61" i="19"/>
  <c r="Q61" i="19"/>
  <c r="R61" i="19"/>
  <c r="I45" i="19"/>
  <c r="L45" i="19"/>
  <c r="N45" i="19"/>
  <c r="Q45" i="19"/>
  <c r="R45" i="19"/>
  <c r="I43" i="19"/>
  <c r="L43" i="19"/>
  <c r="N43" i="19"/>
  <c r="Q43" i="19"/>
  <c r="R43" i="19"/>
  <c r="I21" i="19"/>
  <c r="L21" i="19"/>
  <c r="N21" i="19"/>
  <c r="Q21" i="19"/>
  <c r="R21" i="19"/>
  <c r="I15" i="19"/>
  <c r="L15" i="19"/>
  <c r="N15" i="19"/>
  <c r="Q15" i="19"/>
  <c r="R15" i="19"/>
  <c r="H28" i="62"/>
  <c r="AP169" i="20"/>
  <c r="AP170" i="20"/>
  <c r="AP171" i="20"/>
  <c r="AP172" i="20"/>
  <c r="AP176" i="20"/>
  <c r="AP179" i="20"/>
  <c r="AP180" i="20"/>
  <c r="AT169" i="20"/>
  <c r="AT170" i="20"/>
  <c r="AT171" i="20"/>
  <c r="AT172" i="20"/>
  <c r="AT176" i="20"/>
  <c r="AT179" i="20"/>
  <c r="AT180" i="20"/>
  <c r="AP159" i="20"/>
  <c r="AP119" i="20"/>
  <c r="AP120" i="20"/>
  <c r="AT159" i="20"/>
  <c r="AT119" i="20"/>
  <c r="AT120" i="20"/>
  <c r="AP177" i="20"/>
  <c r="AP178" i="20"/>
  <c r="AT177" i="20"/>
  <c r="AT178" i="20"/>
  <c r="AP118" i="20"/>
  <c r="AT118" i="20"/>
  <c r="AP160" i="20"/>
  <c r="AT160" i="20"/>
  <c r="AP112" i="20"/>
  <c r="AT112" i="20"/>
  <c r="AP111" i="20"/>
  <c r="AT111" i="20"/>
  <c r="AP108" i="20"/>
  <c r="AT108" i="20"/>
  <c r="AP109" i="20"/>
  <c r="AT109" i="20"/>
  <c r="AP161" i="20"/>
  <c r="AT161" i="20"/>
  <c r="AP162" i="20"/>
  <c r="AT162" i="20"/>
  <c r="AP168" i="20"/>
  <c r="AT168" i="20"/>
  <c r="AP173" i="20"/>
  <c r="AT173" i="20"/>
  <c r="AP174" i="20"/>
  <c r="AT174" i="20"/>
  <c r="AP175" i="20"/>
  <c r="AT175" i="20"/>
  <c r="W40" i="19"/>
  <c r="AP158" i="20"/>
  <c r="AT158" i="20"/>
  <c r="AP157" i="20"/>
  <c r="AT157" i="20"/>
  <c r="AP117" i="20"/>
  <c r="AT117" i="20"/>
  <c r="AP116" i="20"/>
  <c r="AT116" i="20"/>
  <c r="AP115" i="20"/>
  <c r="AT115" i="20"/>
  <c r="AP114" i="20"/>
  <c r="AT114" i="20"/>
  <c r="AP113" i="20"/>
  <c r="AT113" i="20"/>
  <c r="AP156" i="20"/>
  <c r="AT156" i="20"/>
  <c r="AP155" i="20"/>
  <c r="AT155" i="20"/>
  <c r="AP154" i="20"/>
  <c r="AT154" i="20"/>
  <c r="AP135" i="20"/>
  <c r="AP136" i="20"/>
  <c r="AP137" i="20"/>
  <c r="AP138" i="20"/>
  <c r="AP139" i="20"/>
  <c r="AP140" i="20"/>
  <c r="AP141" i="20"/>
  <c r="AP142" i="20"/>
  <c r="AP143" i="20"/>
  <c r="AP144" i="20"/>
  <c r="AP145" i="20"/>
  <c r="AP146" i="20"/>
  <c r="AP147" i="20"/>
  <c r="AP148" i="20"/>
  <c r="AP149" i="20"/>
  <c r="AP150" i="20"/>
  <c r="AP151" i="20"/>
  <c r="AP152" i="20"/>
  <c r="AP153" i="20"/>
  <c r="AT135" i="20"/>
  <c r="AT136" i="20"/>
  <c r="AT137" i="20"/>
  <c r="AT138" i="20"/>
  <c r="AT139" i="20"/>
  <c r="AT140" i="20"/>
  <c r="AT141" i="20"/>
  <c r="AT142" i="20"/>
  <c r="AT143" i="20"/>
  <c r="AT144" i="20"/>
  <c r="AT145" i="20"/>
  <c r="AT146" i="20"/>
  <c r="AT147" i="20"/>
  <c r="AT148" i="20"/>
  <c r="AT149" i="20"/>
  <c r="AT150" i="20"/>
  <c r="AT151" i="20"/>
  <c r="AT152" i="20"/>
  <c r="AT153" i="20"/>
  <c r="AP134" i="20"/>
  <c r="AT134" i="20"/>
  <c r="AP133" i="20"/>
  <c r="AT133" i="20"/>
  <c r="AP132" i="20"/>
  <c r="AT132" i="20"/>
  <c r="AP131" i="20"/>
  <c r="AT131" i="20"/>
  <c r="AP130" i="20"/>
  <c r="AT130" i="20"/>
  <c r="AP129" i="20"/>
  <c r="AT129" i="20"/>
  <c r="AP128" i="20"/>
  <c r="AT128" i="20"/>
  <c r="AP127" i="20"/>
  <c r="AT127" i="20"/>
  <c r="AP126" i="20"/>
  <c r="AT126" i="20"/>
  <c r="AP125" i="20"/>
  <c r="AT125" i="20"/>
  <c r="AP124" i="20"/>
  <c r="AT124" i="20"/>
  <c r="AP123" i="20"/>
  <c r="AT123" i="20"/>
  <c r="AP122" i="20"/>
  <c r="AT122" i="20"/>
  <c r="AP121" i="20"/>
  <c r="AT121" i="20"/>
  <c r="AP167" i="20"/>
  <c r="AT167" i="20"/>
  <c r="AP166" i="20"/>
  <c r="AT166" i="20"/>
  <c r="AP165" i="20"/>
  <c r="AT165" i="20"/>
  <c r="AP164" i="20"/>
  <c r="AT164" i="20"/>
  <c r="AP163" i="20"/>
  <c r="AT163"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4" i="19"/>
  <c r="V14" i="19"/>
  <c r="W14" i="19"/>
  <c r="U16" i="19"/>
  <c r="V16" i="19"/>
  <c r="W16" i="19"/>
  <c r="U17" i="19"/>
  <c r="V17" i="19"/>
  <c r="W17" i="19"/>
  <c r="U18" i="19"/>
  <c r="V18" i="19"/>
  <c r="W18" i="19"/>
  <c r="U19" i="19"/>
  <c r="V19" i="19"/>
  <c r="W19" i="19"/>
  <c r="U20" i="19"/>
  <c r="V20" i="19"/>
  <c r="W20"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39" i="19"/>
  <c r="V39" i="19"/>
  <c r="W39" i="19"/>
  <c r="U41" i="19"/>
  <c r="V41" i="19"/>
  <c r="W41" i="19"/>
  <c r="U42" i="19"/>
  <c r="V42" i="19"/>
  <c r="W42" i="19"/>
  <c r="U44" i="19"/>
  <c r="U45" i="19" s="1"/>
  <c r="V44" i="19"/>
  <c r="V45" i="19" s="1"/>
  <c r="W44" i="19"/>
  <c r="W45" i="19" s="1"/>
  <c r="U46" i="19"/>
  <c r="V46" i="19"/>
  <c r="W46" i="19"/>
  <c r="U48" i="19"/>
  <c r="V48" i="19"/>
  <c r="W48" i="19"/>
  <c r="U49" i="19"/>
  <c r="V49" i="19"/>
  <c r="W49"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2" i="19"/>
  <c r="V62" i="19"/>
  <c r="W62" i="19"/>
  <c r="U63" i="19"/>
  <c r="V63" i="19"/>
  <c r="W63" i="19"/>
  <c r="U64" i="19"/>
  <c r="V64" i="19"/>
  <c r="W64" i="19"/>
  <c r="U65" i="19"/>
  <c r="V65" i="19"/>
  <c r="W65" i="19"/>
  <c r="U66" i="19"/>
  <c r="V66" i="19"/>
  <c r="U67" i="19"/>
  <c r="V67" i="19"/>
  <c r="W67" i="19"/>
  <c r="U68" i="19"/>
  <c r="V68" i="19"/>
  <c r="W68" i="19"/>
  <c r="U69" i="19"/>
  <c r="V69" i="19"/>
  <c r="W69" i="19"/>
  <c r="U70" i="19"/>
  <c r="V70" i="19"/>
  <c r="W70" i="19"/>
  <c r="U72" i="19"/>
  <c r="V72" i="19"/>
  <c r="W72" i="19"/>
  <c r="U73" i="19"/>
  <c r="V73" i="19"/>
  <c r="W73" i="19"/>
  <c r="U74" i="19"/>
  <c r="V74" i="19"/>
  <c r="W74" i="19"/>
  <c r="U76" i="19"/>
  <c r="V76" i="19"/>
  <c r="W76" i="19"/>
  <c r="U85" i="19"/>
  <c r="V85" i="19"/>
  <c r="W85" i="19"/>
  <c r="U86" i="19"/>
  <c r="V86" i="19"/>
  <c r="W86" i="19"/>
  <c r="U88" i="19"/>
  <c r="V88" i="19"/>
  <c r="W88" i="19"/>
  <c r="U89" i="19"/>
  <c r="V89" i="19"/>
  <c r="W89" i="19"/>
  <c r="U90" i="19"/>
  <c r="V90" i="19"/>
  <c r="W90" i="19"/>
  <c r="U91" i="19"/>
  <c r="V91" i="19"/>
  <c r="W91" i="19"/>
  <c r="U92" i="19"/>
  <c r="V92" i="19"/>
  <c r="W92" i="19"/>
  <c r="U93" i="19"/>
  <c r="V93" i="19"/>
  <c r="W93" i="19"/>
  <c r="U94" i="19"/>
  <c r="V94" i="19"/>
  <c r="W94" i="19"/>
  <c r="U95" i="19"/>
  <c r="V95" i="19"/>
  <c r="W95" i="19"/>
  <c r="U96" i="19"/>
  <c r="V96" i="19"/>
  <c r="W96" i="19"/>
  <c r="V97" i="19"/>
  <c r="W97" i="19"/>
  <c r="U98" i="19"/>
  <c r="V98" i="19"/>
  <c r="W98" i="19"/>
  <c r="U99" i="19"/>
  <c r="V99" i="19"/>
  <c r="W99" i="19"/>
  <c r="U101" i="19"/>
  <c r="V101" i="19"/>
  <c r="W101" i="19"/>
  <c r="U102" i="19"/>
  <c r="V102" i="19"/>
  <c r="W102" i="19"/>
  <c r="U103" i="19"/>
  <c r="V103" i="19"/>
  <c r="W103" i="19"/>
  <c r="U105" i="19"/>
  <c r="V105" i="19"/>
  <c r="W105" i="19"/>
  <c r="U106" i="19"/>
  <c r="V106" i="19"/>
  <c r="W106"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1" i="19"/>
  <c r="V121" i="19"/>
  <c r="W121" i="19"/>
  <c r="U122" i="19"/>
  <c r="V122" i="19"/>
  <c r="W122" i="19"/>
  <c r="U125" i="19"/>
  <c r="V125" i="19"/>
  <c r="W125" i="19"/>
  <c r="U126" i="19"/>
  <c r="V126" i="19"/>
  <c r="W126" i="19"/>
  <c r="U127" i="19"/>
  <c r="V127" i="19"/>
  <c r="W127" i="19"/>
  <c r="U128" i="19"/>
  <c r="V128" i="19"/>
  <c r="W128" i="19"/>
  <c r="U130" i="19"/>
  <c r="V130" i="19"/>
  <c r="W130" i="19"/>
  <c r="U131" i="19"/>
  <c r="V131" i="19"/>
  <c r="W131" i="19"/>
  <c r="U132" i="19"/>
  <c r="V132" i="19"/>
  <c r="W132" i="19"/>
  <c r="U133" i="19"/>
  <c r="V133" i="19"/>
  <c r="W133" i="19"/>
  <c r="U135" i="19"/>
  <c r="V135" i="19"/>
  <c r="W135" i="19"/>
  <c r="U137" i="19"/>
  <c r="V137" i="19"/>
  <c r="W137" i="19"/>
  <c r="U138" i="19"/>
  <c r="V138" i="19"/>
  <c r="W138" i="19"/>
  <c r="U139" i="19"/>
  <c r="V139" i="19"/>
  <c r="W139" i="19"/>
  <c r="U140" i="19"/>
  <c r="V140" i="19"/>
  <c r="W140" i="19"/>
  <c r="U142" i="19"/>
  <c r="V142" i="19"/>
  <c r="W142" i="19"/>
  <c r="U143" i="19"/>
  <c r="V143" i="19"/>
  <c r="W143" i="19"/>
  <c r="U145" i="19"/>
  <c r="V145" i="19"/>
  <c r="W145" i="19"/>
  <c r="U146" i="19"/>
  <c r="V146" i="19"/>
  <c r="W146" i="19"/>
  <c r="U148" i="19"/>
  <c r="V148" i="19"/>
  <c r="W148" i="19"/>
  <c r="U149" i="19"/>
  <c r="V149" i="19"/>
  <c r="W149" i="19"/>
  <c r="U151" i="19"/>
  <c r="V151" i="19"/>
  <c r="W151" i="19"/>
  <c r="U152" i="19"/>
  <c r="V152" i="19"/>
  <c r="W152" i="19"/>
  <c r="U153" i="19"/>
  <c r="V153" i="19"/>
  <c r="W153" i="19"/>
  <c r="U154" i="19"/>
  <c r="V154" i="19"/>
  <c r="W154"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U167" i="19"/>
  <c r="V167" i="19"/>
  <c r="W167" i="19"/>
  <c r="U168" i="19"/>
  <c r="V168" i="19"/>
  <c r="W168" i="19"/>
  <c r="U169" i="19"/>
  <c r="V169" i="19"/>
  <c r="W169" i="19"/>
  <c r="U170" i="19"/>
  <c r="V170" i="19"/>
  <c r="W170" i="19"/>
  <c r="U171" i="19"/>
  <c r="V171" i="19"/>
  <c r="W171" i="19"/>
  <c r="T5" i="19"/>
  <c r="T6" i="19"/>
  <c r="T7" i="19"/>
  <c r="T8" i="19"/>
  <c r="T9" i="19"/>
  <c r="T10" i="19"/>
  <c r="T11" i="19"/>
  <c r="T12" i="19"/>
  <c r="T13" i="19"/>
  <c r="T14" i="19"/>
  <c r="T16" i="19"/>
  <c r="T17" i="19"/>
  <c r="T18" i="19"/>
  <c r="T19" i="19"/>
  <c r="T20" i="19"/>
  <c r="T22" i="19"/>
  <c r="T23" i="19"/>
  <c r="T24" i="19"/>
  <c r="T25" i="19"/>
  <c r="T26" i="19"/>
  <c r="T27" i="19"/>
  <c r="T28" i="19"/>
  <c r="T29" i="19"/>
  <c r="T30" i="19"/>
  <c r="T31" i="19"/>
  <c r="T32" i="19"/>
  <c r="T33" i="19"/>
  <c r="T34" i="19"/>
  <c r="T35" i="19"/>
  <c r="T36" i="19"/>
  <c r="T37" i="19"/>
  <c r="T38" i="19"/>
  <c r="T39" i="19"/>
  <c r="T41" i="19"/>
  <c r="T42" i="19"/>
  <c r="T44" i="19"/>
  <c r="T45" i="19" s="1"/>
  <c r="T46" i="19"/>
  <c r="T48" i="19"/>
  <c r="T49" i="19"/>
  <c r="T50" i="19"/>
  <c r="T51" i="19"/>
  <c r="T52" i="19"/>
  <c r="T53" i="19"/>
  <c r="T54" i="19"/>
  <c r="T55" i="19"/>
  <c r="T56" i="19"/>
  <c r="T57" i="19"/>
  <c r="T58" i="19"/>
  <c r="T59" i="19"/>
  <c r="T60" i="19"/>
  <c r="T62" i="19"/>
  <c r="T63" i="19"/>
  <c r="T64" i="19"/>
  <c r="T65" i="19"/>
  <c r="T66" i="19"/>
  <c r="T67" i="19"/>
  <c r="T68" i="19"/>
  <c r="T69" i="19"/>
  <c r="T70" i="19"/>
  <c r="T72" i="19"/>
  <c r="T73" i="19"/>
  <c r="T74" i="19"/>
  <c r="T76" i="19"/>
  <c r="T85" i="19"/>
  <c r="T86" i="19"/>
  <c r="T88" i="19"/>
  <c r="T89" i="19"/>
  <c r="T90" i="19"/>
  <c r="T91" i="19"/>
  <c r="T92" i="19"/>
  <c r="T93" i="19"/>
  <c r="T94" i="19"/>
  <c r="T95" i="19"/>
  <c r="T96" i="19"/>
  <c r="T97" i="19"/>
  <c r="T98" i="19"/>
  <c r="T99" i="19"/>
  <c r="T101" i="19"/>
  <c r="T102" i="19"/>
  <c r="T103" i="19"/>
  <c r="T105" i="19"/>
  <c r="T130" i="19"/>
  <c r="T131" i="19"/>
  <c r="T132" i="19"/>
  <c r="T133" i="19"/>
  <c r="T135" i="19"/>
  <c r="T137" i="19"/>
  <c r="T138" i="19"/>
  <c r="T139" i="19"/>
  <c r="T140" i="19"/>
  <c r="T142" i="19"/>
  <c r="T143" i="19"/>
  <c r="T145" i="19"/>
  <c r="T146" i="19"/>
  <c r="T148" i="19"/>
  <c r="T149" i="19"/>
  <c r="T151" i="19"/>
  <c r="T152" i="19"/>
  <c r="T153" i="19"/>
  <c r="T154" i="19"/>
  <c r="T155" i="19"/>
  <c r="T156" i="19"/>
  <c r="T157" i="19"/>
  <c r="T158" i="19"/>
  <c r="T159" i="19"/>
  <c r="T160" i="19"/>
  <c r="T161" i="19"/>
  <c r="T162" i="19"/>
  <c r="T163" i="19"/>
  <c r="T164" i="19"/>
  <c r="T165" i="19"/>
  <c r="T166" i="19"/>
  <c r="T167" i="19"/>
  <c r="T168" i="19"/>
  <c r="T169" i="19"/>
  <c r="T170" i="19"/>
  <c r="T171" i="19"/>
  <c r="S16" i="19"/>
  <c r="S17" i="19"/>
  <c r="S18" i="19"/>
  <c r="S19" i="19"/>
  <c r="S20" i="19"/>
  <c r="S22" i="19"/>
  <c r="S23" i="19"/>
  <c r="S24" i="19"/>
  <c r="S25" i="19"/>
  <c r="S26" i="19"/>
  <c r="S27" i="19"/>
  <c r="S28" i="19"/>
  <c r="S29" i="19"/>
  <c r="S30" i="19"/>
  <c r="S31" i="19"/>
  <c r="S32" i="19"/>
  <c r="S33" i="19"/>
  <c r="S34" i="19"/>
  <c r="S35" i="19"/>
  <c r="S36" i="19"/>
  <c r="S37" i="19"/>
  <c r="S38" i="19"/>
  <c r="S39" i="19"/>
  <c r="S41" i="19"/>
  <c r="S42" i="19"/>
  <c r="S44" i="19"/>
  <c r="S45" i="19" s="1"/>
  <c r="S46" i="19"/>
  <c r="S48" i="19"/>
  <c r="S49" i="19"/>
  <c r="S50" i="19"/>
  <c r="S51" i="19"/>
  <c r="S52" i="19"/>
  <c r="S53" i="19"/>
  <c r="S54" i="19"/>
  <c r="S55" i="19"/>
  <c r="S56" i="19"/>
  <c r="S57" i="19"/>
  <c r="S58" i="19"/>
  <c r="S59" i="19"/>
  <c r="S60" i="19"/>
  <c r="S62" i="19"/>
  <c r="S63" i="19"/>
  <c r="S64" i="19"/>
  <c r="S65" i="19"/>
  <c r="S66" i="19"/>
  <c r="S67" i="19"/>
  <c r="S68" i="19"/>
  <c r="S69" i="19"/>
  <c r="S70" i="19"/>
  <c r="S72" i="19"/>
  <c r="S73" i="19"/>
  <c r="S74" i="19"/>
  <c r="S76" i="19"/>
  <c r="S85" i="19"/>
  <c r="S86" i="19"/>
  <c r="S88" i="19"/>
  <c r="S89" i="19"/>
  <c r="S90" i="19"/>
  <c r="S91" i="19"/>
  <c r="S92" i="19"/>
  <c r="S93" i="19"/>
  <c r="S94" i="19"/>
  <c r="S95" i="19"/>
  <c r="S96" i="19"/>
  <c r="S97" i="19"/>
  <c r="S98" i="19"/>
  <c r="S99" i="19"/>
  <c r="S101" i="19"/>
  <c r="S102" i="19"/>
  <c r="S103" i="19"/>
  <c r="S105" i="19"/>
  <c r="S130" i="19"/>
  <c r="S131" i="19"/>
  <c r="S132" i="19"/>
  <c r="S133" i="19"/>
  <c r="S135" i="19"/>
  <c r="S137" i="19"/>
  <c r="S138" i="19"/>
  <c r="S139" i="19"/>
  <c r="S140" i="19"/>
  <c r="S142" i="19"/>
  <c r="S143" i="19"/>
  <c r="S145" i="19"/>
  <c r="S146" i="19"/>
  <c r="S148" i="19"/>
  <c r="S149" i="19"/>
  <c r="S151" i="19"/>
  <c r="S152" i="19"/>
  <c r="S153" i="19"/>
  <c r="S154" i="19"/>
  <c r="S155" i="19"/>
  <c r="S156" i="19"/>
  <c r="S157" i="19"/>
  <c r="S158" i="19"/>
  <c r="S159" i="19"/>
  <c r="S160" i="19"/>
  <c r="S161" i="19"/>
  <c r="S162" i="19"/>
  <c r="S163" i="19"/>
  <c r="S164" i="19"/>
  <c r="S165" i="19"/>
  <c r="S166" i="19"/>
  <c r="S167" i="19"/>
  <c r="S168" i="19"/>
  <c r="S169" i="19"/>
  <c r="S170" i="19"/>
  <c r="S171" i="19"/>
  <c r="Q47" i="19"/>
  <c r="N47" i="19"/>
  <c r="L47" i="19"/>
  <c r="I47" i="19"/>
  <c r="R47" i="19"/>
  <c r="AP110" i="20"/>
  <c r="AT110" i="20"/>
  <c r="AP107" i="20"/>
  <c r="AT107" i="20"/>
  <c r="AP104" i="20"/>
  <c r="AP105" i="20"/>
  <c r="AP103" i="20"/>
  <c r="AT104" i="20"/>
  <c r="AT105" i="20"/>
  <c r="AT103" i="20"/>
  <c r="AP106" i="20"/>
  <c r="AT106" i="20"/>
  <c r="T284" i="14"/>
  <c r="AP100" i="20"/>
  <c r="AT100" i="20"/>
  <c r="AP101" i="20"/>
  <c r="AT101" i="20"/>
  <c r="AP102" i="20"/>
  <c r="AT102" i="20"/>
  <c r="AP98" i="20"/>
  <c r="AT98" i="20"/>
  <c r="AP97" i="20"/>
  <c r="AT97" i="20"/>
  <c r="AP96" i="20"/>
  <c r="AT96" i="20"/>
  <c r="AP99" i="20"/>
  <c r="AT99" i="20"/>
  <c r="T296" i="14"/>
  <c r="AD296" i="14"/>
  <c r="AE296" i="14"/>
  <c r="AF296" i="14" s="1"/>
  <c r="T283" i="14"/>
  <c r="AE283" i="14"/>
  <c r="AF283" i="14" s="1"/>
  <c r="AP85" i="20"/>
  <c r="AT85" i="20"/>
  <c r="AP86" i="20"/>
  <c r="AT86" i="20"/>
  <c r="AP89" i="20"/>
  <c r="AT89" i="20"/>
  <c r="AP90" i="20"/>
  <c r="AT90" i="20"/>
  <c r="AP91" i="20"/>
  <c r="AT91" i="20"/>
  <c r="AP92" i="20"/>
  <c r="AT92" i="20"/>
  <c r="AP93" i="20"/>
  <c r="AT93" i="20"/>
  <c r="T281" i="14"/>
  <c r="AE281" i="14"/>
  <c r="AF281" i="14" s="1"/>
  <c r="AP84" i="20"/>
  <c r="AT84" i="20"/>
  <c r="AP82" i="20"/>
  <c r="AP83" i="20"/>
  <c r="AT82" i="20"/>
  <c r="AT83" i="20"/>
  <c r="AP87" i="20"/>
  <c r="AT87" i="20"/>
  <c r="AP88" i="20"/>
  <c r="AT88" i="20"/>
  <c r="AP95" i="20"/>
  <c r="AT95" i="20"/>
  <c r="AP94" i="20"/>
  <c r="AT94" i="20"/>
  <c r="Z5" i="33"/>
  <c r="T282" i="14"/>
  <c r="AE282" i="14"/>
  <c r="AF282" i="14" s="1"/>
  <c r="AP81" i="20"/>
  <c r="AT81" i="20"/>
  <c r="Q3" i="62"/>
  <c r="G28" i="62"/>
  <c r="CD30" i="62"/>
  <c r="AR39" i="43"/>
  <c r="X4" i="33"/>
  <c r="B16" i="92"/>
  <c r="B15" i="92"/>
  <c r="Z7" i="33"/>
  <c r="B20" i="92"/>
  <c r="B19" i="92"/>
  <c r="B12" i="92"/>
  <c r="B11" i="92"/>
  <c r="B10" i="92"/>
  <c r="B9" i="92"/>
  <c r="B3" i="92"/>
  <c r="B4" i="92"/>
  <c r="B5" i="92"/>
  <c r="B2" i="92"/>
  <c r="Z3" i="66"/>
  <c r="D45" i="94"/>
  <c r="F48" i="94"/>
  <c r="F47" i="94"/>
  <c r="F46" i="94"/>
  <c r="F45" i="94"/>
  <c r="D48" i="94"/>
  <c r="D47" i="94"/>
  <c r="D46" i="94"/>
  <c r="E48" i="94"/>
  <c r="E47" i="94"/>
  <c r="C47" i="94"/>
  <c r="E46" i="94"/>
  <c r="E45" i="94"/>
  <c r="C48" i="94"/>
  <c r="C46" i="94"/>
  <c r="C45" i="94"/>
  <c r="D34" i="94"/>
  <c r="Y10" i="66" s="1"/>
  <c r="D35" i="94"/>
  <c r="AI13" i="66" s="1"/>
  <c r="D36" i="94"/>
  <c r="AI17" i="66" s="1"/>
  <c r="D37" i="94"/>
  <c r="AI19" i="66" s="1"/>
  <c r="D38" i="94"/>
  <c r="AI7" i="66" s="1"/>
  <c r="D39" i="94"/>
  <c r="Y20" i="66" s="1"/>
  <c r="D33" i="94"/>
  <c r="AI6" i="66" s="1"/>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C34" i="94"/>
  <c r="X10" i="66" s="1"/>
  <c r="C35" i="94"/>
  <c r="C36" i="94"/>
  <c r="X17" i="66" s="1"/>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AI4" i="66" s="1"/>
  <c r="D17" i="94"/>
  <c r="Y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Y24" i="66" s="1"/>
  <c r="D30" i="94"/>
  <c r="AI25" i="66" s="1"/>
  <c r="D15" i="94"/>
  <c r="Y3"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T58" i="20"/>
  <c r="AT59" i="20"/>
  <c r="AT60" i="20"/>
  <c r="AT61" i="20"/>
  <c r="AP78" i="20"/>
  <c r="AT78" i="20"/>
  <c r="AP79" i="20"/>
  <c r="AT79" i="20"/>
  <c r="AP80" i="20"/>
  <c r="AT80" i="20"/>
  <c r="AP74" i="20"/>
  <c r="AT74" i="20"/>
  <c r="AP75" i="20"/>
  <c r="AT75" i="20"/>
  <c r="AP73" i="20"/>
  <c r="AT73" i="20"/>
  <c r="B49" i="92"/>
  <c r="B48" i="92"/>
  <c r="B47" i="92"/>
  <c r="B46" i="92"/>
  <c r="B45" i="92"/>
  <c r="B44" i="92"/>
  <c r="B43" i="92"/>
  <c r="T276" i="14"/>
  <c r="AD276" i="14"/>
  <c r="AE276" i="14"/>
  <c r="AF276" i="14" s="1"/>
  <c r="T277" i="14"/>
  <c r="AE277" i="14"/>
  <c r="AF277" i="14" s="1"/>
  <c r="T278" i="14"/>
  <c r="AE278" i="14"/>
  <c r="AF278" i="14" s="1"/>
  <c r="T279" i="14"/>
  <c r="AE279" i="14"/>
  <c r="AF279" i="14" s="1"/>
  <c r="B40" i="92"/>
  <c r="B39" i="92"/>
  <c r="B38" i="92"/>
  <c r="B37" i="92"/>
  <c r="B36" i="92"/>
  <c r="B35" i="92"/>
  <c r="B34" i="92"/>
  <c r="B33" i="92"/>
  <c r="B32" i="92"/>
  <c r="B31" i="92"/>
  <c r="B30" i="92"/>
  <c r="B29" i="92"/>
  <c r="B28" i="92"/>
  <c r="B27" i="92"/>
  <c r="B26" i="92"/>
  <c r="B25" i="92"/>
  <c r="AP67" i="20"/>
  <c r="AT67" i="20"/>
  <c r="AP63" i="20"/>
  <c r="AT63" i="20"/>
  <c r="W2" i="43"/>
  <c r="W3" i="43"/>
  <c r="Z10" i="43"/>
  <c r="AA10" i="43"/>
  <c r="Z11" i="43"/>
  <c r="AA11" i="43"/>
  <c r="Z12" i="43"/>
  <c r="AA12" i="43"/>
  <c r="Z13" i="43"/>
  <c r="AA13" i="43"/>
  <c r="Z14" i="43"/>
  <c r="AA14" i="43"/>
  <c r="Z15" i="43"/>
  <c r="AA15" i="43"/>
  <c r="Z16" i="43"/>
  <c r="AA16" i="43"/>
  <c r="Z17" i="43"/>
  <c r="AA17" i="43"/>
  <c r="Z18" i="43"/>
  <c r="AA18" i="43"/>
  <c r="Z19" i="43"/>
  <c r="AA19" i="43"/>
  <c r="AP76" i="20"/>
  <c r="AT76" i="20"/>
  <c r="AP77" i="20"/>
  <c r="AT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T6" i="20"/>
  <c r="AP6" i="20"/>
  <c r="AE6" i="20"/>
  <c r="AT8" i="20"/>
  <c r="AT7" i="20"/>
  <c r="AT10" i="20"/>
  <c r="AP10" i="20"/>
  <c r="AE10" i="20"/>
  <c r="AT9" i="20"/>
  <c r="AP9" i="20"/>
  <c r="AT12" i="20"/>
  <c r="AP12" i="20"/>
  <c r="AT11" i="20"/>
  <c r="AP11" i="20"/>
  <c r="AT13" i="20"/>
  <c r="AP13" i="20"/>
  <c r="AT19" i="20"/>
  <c r="AP19" i="20"/>
  <c r="AT18" i="20"/>
  <c r="AP18" i="20"/>
  <c r="AT17" i="20"/>
  <c r="AP17" i="20"/>
  <c r="AE17" i="20"/>
  <c r="AC17" i="20"/>
  <c r="AT16" i="20"/>
  <c r="AP16" i="20"/>
  <c r="AT15" i="20"/>
  <c r="AP15" i="20"/>
  <c r="AT14" i="20"/>
  <c r="AP14" i="20"/>
  <c r="AD14" i="20"/>
  <c r="AT22" i="20"/>
  <c r="AP22" i="20"/>
  <c r="AT21" i="20"/>
  <c r="AP21" i="20"/>
  <c r="AT20" i="20"/>
  <c r="AP20" i="20"/>
  <c r="AT23" i="20"/>
  <c r="AP23" i="20"/>
  <c r="AP24" i="20"/>
  <c r="AT26" i="20"/>
  <c r="AP26" i="20"/>
  <c r="AT25" i="20"/>
  <c r="AP25" i="20"/>
  <c r="AT27" i="20"/>
  <c r="AP27" i="20"/>
  <c r="AT28" i="20"/>
  <c r="AP28" i="20"/>
  <c r="AT29" i="20"/>
  <c r="AP29" i="20"/>
  <c r="AT34" i="20"/>
  <c r="AP34" i="20"/>
  <c r="AT33" i="20"/>
  <c r="AP33" i="20"/>
  <c r="AT32" i="20"/>
  <c r="AP32" i="20"/>
  <c r="AT31" i="20"/>
  <c r="AP31" i="20"/>
  <c r="AT30" i="20"/>
  <c r="AP30" i="20"/>
  <c r="AT39" i="20"/>
  <c r="AP39" i="20"/>
  <c r="AT38" i="20"/>
  <c r="AP38" i="20"/>
  <c r="AT37" i="20"/>
  <c r="AP37" i="20"/>
  <c r="AT36" i="20"/>
  <c r="AP36" i="20"/>
  <c r="AT35" i="20"/>
  <c r="AP35" i="20"/>
  <c r="AT42" i="20"/>
  <c r="AP42" i="20"/>
  <c r="AT41" i="20"/>
  <c r="AP41" i="20"/>
  <c r="AT40" i="20"/>
  <c r="AP40" i="20"/>
  <c r="AT43" i="20"/>
  <c r="AP43" i="20"/>
  <c r="AT45" i="20"/>
  <c r="AP45" i="20"/>
  <c r="AT44" i="20"/>
  <c r="AP44" i="20"/>
  <c r="AT47" i="20"/>
  <c r="AP47" i="20"/>
  <c r="AT46" i="20"/>
  <c r="AP46" i="20"/>
  <c r="AT49" i="20"/>
  <c r="AP49" i="20"/>
  <c r="AT48" i="20"/>
  <c r="AP48" i="20"/>
  <c r="AT50" i="20"/>
  <c r="AP50" i="20"/>
  <c r="AT51" i="20"/>
  <c r="AP51" i="20"/>
  <c r="AT52" i="20"/>
  <c r="AP52" i="20"/>
  <c r="AT53" i="20"/>
  <c r="AP53" i="20"/>
  <c r="AT54" i="20"/>
  <c r="AP54" i="20"/>
  <c r="AT55" i="20"/>
  <c r="AP55" i="20"/>
  <c r="AT56" i="20"/>
  <c r="AP56" i="20"/>
  <c r="AT57" i="20"/>
  <c r="AP57" i="20"/>
  <c r="AT62" i="20"/>
  <c r="AP62" i="20"/>
  <c r="AT64" i="20"/>
  <c r="AP64" i="20"/>
  <c r="AT65" i="20"/>
  <c r="AP65" i="20"/>
  <c r="AT66" i="20"/>
  <c r="AP66" i="20"/>
  <c r="AT68" i="20"/>
  <c r="AP68" i="20"/>
  <c r="AT72" i="20"/>
  <c r="AP72" i="20"/>
  <c r="AT71" i="20"/>
  <c r="AP71" i="20"/>
  <c r="AT70" i="20"/>
  <c r="AP70" i="20"/>
  <c r="AT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97" i="14"/>
  <c r="AF297" i="14" s="1"/>
  <c r="AD297" i="14"/>
  <c r="T297" i="14"/>
  <c r="AE295" i="14"/>
  <c r="AF295" i="14" s="1"/>
  <c r="AD295" i="14"/>
  <c r="T295" i="14"/>
  <c r="AE294" i="14"/>
  <c r="AF294" i="14" s="1"/>
  <c r="AD294" i="14"/>
  <c r="T294" i="14"/>
  <c r="AE293" i="14"/>
  <c r="AF293" i="14" s="1"/>
  <c r="AD293" i="14"/>
  <c r="T293" i="14"/>
  <c r="AE292" i="14"/>
  <c r="AF292" i="14" s="1"/>
  <c r="AD292" i="14"/>
  <c r="T292" i="14"/>
  <c r="AE291" i="14"/>
  <c r="AF291" i="14" s="1"/>
  <c r="AD291" i="14"/>
  <c r="T291" i="14"/>
  <c r="AE180" i="14"/>
  <c r="AF180" i="14" s="1"/>
  <c r="AD180" i="14"/>
  <c r="T180" i="14"/>
  <c r="AE116" i="14"/>
  <c r="AF116" i="14" s="1"/>
  <c r="AD116" i="14"/>
  <c r="T116" i="14"/>
  <c r="AE154" i="14"/>
  <c r="AF154" i="14" s="1"/>
  <c r="AD154" i="14"/>
  <c r="T154" i="14"/>
  <c r="AE46" i="14"/>
  <c r="AF46" i="14" s="1"/>
  <c r="AD46" i="14"/>
  <c r="T46" i="14"/>
  <c r="AE280" i="14"/>
  <c r="AF280" i="14" s="1"/>
  <c r="AD280" i="14"/>
  <c r="T280" i="14"/>
  <c r="AE164" i="14"/>
  <c r="AF164" i="14" s="1"/>
  <c r="AD164" i="14"/>
  <c r="T164" i="14"/>
  <c r="AE38" i="14"/>
  <c r="AF38" i="14" s="1"/>
  <c r="AD38" i="14"/>
  <c r="T38" i="14"/>
  <c r="AE189" i="14"/>
  <c r="AF189" i="14" s="1"/>
  <c r="AD189" i="14"/>
  <c r="T189" i="14"/>
  <c r="AE105" i="14"/>
  <c r="AF105" i="14" s="1"/>
  <c r="AD105" i="14"/>
  <c r="T105" i="14"/>
  <c r="AE204" i="14"/>
  <c r="AF204" i="14" s="1"/>
  <c r="AD204" i="14"/>
  <c r="T204" i="14"/>
  <c r="AE237" i="14"/>
  <c r="AF237" i="14" s="1"/>
  <c r="AD237" i="14"/>
  <c r="T237" i="14"/>
  <c r="AE273" i="14"/>
  <c r="AF273" i="14" s="1"/>
  <c r="AD273" i="14"/>
  <c r="T273" i="14"/>
  <c r="AE272" i="14"/>
  <c r="AF272" i="14" s="1"/>
  <c r="AD272" i="14"/>
  <c r="T272" i="14"/>
  <c r="AE271" i="14"/>
  <c r="AF271" i="14" s="1"/>
  <c r="AD271" i="14"/>
  <c r="T271" i="14"/>
  <c r="AE270" i="14"/>
  <c r="AF270" i="14" s="1"/>
  <c r="AD270" i="14"/>
  <c r="T270" i="14"/>
  <c r="AE115" i="14"/>
  <c r="AF115" i="14" s="1"/>
  <c r="AD115" i="14"/>
  <c r="T11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261" i="14"/>
  <c r="AF261" i="14" s="1"/>
  <c r="AD261" i="14"/>
  <c r="T261" i="14"/>
  <c r="AE260" i="14"/>
  <c r="AF260" i="14" s="1"/>
  <c r="AD260" i="14"/>
  <c r="T260" i="14"/>
  <c r="AE259" i="14"/>
  <c r="AF259" i="14" s="1"/>
  <c r="AD259" i="14"/>
  <c r="T259" i="14"/>
  <c r="AE258" i="14"/>
  <c r="AF258" i="14" s="1"/>
  <c r="AD258" i="14"/>
  <c r="T258" i="14"/>
  <c r="AE257" i="14"/>
  <c r="AF257" i="14" s="1"/>
  <c r="AD257" i="14"/>
  <c r="T257" i="14"/>
  <c r="AE256" i="14"/>
  <c r="AF256" i="14" s="1"/>
  <c r="AD256" i="14"/>
  <c r="T256" i="14"/>
  <c r="AE255" i="14"/>
  <c r="AF255" i="14" s="1"/>
  <c r="AD255" i="14"/>
  <c r="T255" i="14"/>
  <c r="AE254" i="14"/>
  <c r="AF254" i="14" s="1"/>
  <c r="AD254" i="14"/>
  <c r="T254" i="14"/>
  <c r="AE202" i="14"/>
  <c r="AF202" i="14" s="1"/>
  <c r="AD202" i="14"/>
  <c r="T202" i="14"/>
  <c r="AE199" i="14"/>
  <c r="AF199" i="14" s="1"/>
  <c r="AD199" i="14"/>
  <c r="T199" i="14"/>
  <c r="AE251" i="14"/>
  <c r="AF251" i="14" s="1"/>
  <c r="AD251" i="14"/>
  <c r="T251" i="14"/>
  <c r="AE250" i="14"/>
  <c r="AF250" i="14" s="1"/>
  <c r="AD250" i="14"/>
  <c r="T250" i="14"/>
  <c r="AE275" i="14"/>
  <c r="AF275" i="14" s="1"/>
  <c r="T275" i="14"/>
  <c r="AE248" i="14"/>
  <c r="AF248" i="14" s="1"/>
  <c r="T248" i="14"/>
  <c r="AE274" i="14"/>
  <c r="AF274" i="14" s="1"/>
  <c r="T274" i="14"/>
  <c r="AE246" i="14"/>
  <c r="AF246" i="14" s="1"/>
  <c r="T246" i="14"/>
  <c r="AE245" i="14"/>
  <c r="AF245" i="14" s="1"/>
  <c r="AD245" i="14"/>
  <c r="T245" i="14"/>
  <c r="AE109" i="14"/>
  <c r="AF109" i="14" s="1"/>
  <c r="AD109" i="14"/>
  <c r="T109" i="14"/>
  <c r="AE249" i="14"/>
  <c r="AF249" i="14" s="1"/>
  <c r="AD249" i="14"/>
  <c r="T249" i="14"/>
  <c r="AE247" i="14"/>
  <c r="AF247" i="14" s="1"/>
  <c r="AD247" i="14"/>
  <c r="T247" i="14"/>
  <c r="AE243" i="14"/>
  <c r="AF243" i="14" s="1"/>
  <c r="AD243" i="14"/>
  <c r="T243" i="14"/>
  <c r="AE113" i="14"/>
  <c r="AF113" i="14" s="1"/>
  <c r="AD113" i="14"/>
  <c r="T113" i="14"/>
  <c r="AE239" i="14"/>
  <c r="AF239" i="14" s="1"/>
  <c r="AD239" i="14"/>
  <c r="T239" i="14"/>
  <c r="AE107" i="14"/>
  <c r="AF107" i="14" s="1"/>
  <c r="AD107" i="14"/>
  <c r="T107" i="14"/>
  <c r="AE63" i="14"/>
  <c r="AF63" i="14" s="1"/>
  <c r="AD63" i="14"/>
  <c r="T63" i="14"/>
  <c r="AE86" i="14"/>
  <c r="AF86" i="14" s="1"/>
  <c r="AD86" i="14"/>
  <c r="T86" i="14"/>
  <c r="AE235" i="14"/>
  <c r="AF235" i="14" s="1"/>
  <c r="AD235" i="14"/>
  <c r="T235" i="14"/>
  <c r="AE234" i="14"/>
  <c r="AF234" i="14" s="1"/>
  <c r="AD234" i="14"/>
  <c r="T234" i="14"/>
  <c r="AE233" i="14"/>
  <c r="AF233" i="14" s="1"/>
  <c r="AD233" i="14"/>
  <c r="T233" i="14"/>
  <c r="AE85" i="14"/>
  <c r="AF85" i="14" s="1"/>
  <c r="AD85" i="14"/>
  <c r="T85" i="14"/>
  <c r="AE231" i="14"/>
  <c r="AF231" i="14" s="1"/>
  <c r="AD231" i="14"/>
  <c r="T231" i="14"/>
  <c r="AE229" i="14"/>
  <c r="AF229" i="14" s="1"/>
  <c r="AD229" i="14"/>
  <c r="T229" i="14"/>
  <c r="AE36" i="14"/>
  <c r="AF36" i="14" s="1"/>
  <c r="AD36" i="14"/>
  <c r="T36" i="14"/>
  <c r="AE269" i="14"/>
  <c r="AF269" i="14" s="1"/>
  <c r="AD269" i="14"/>
  <c r="T269" i="14"/>
  <c r="AE253" i="14"/>
  <c r="AF253" i="14" s="1"/>
  <c r="AD253" i="14"/>
  <c r="T253" i="14"/>
  <c r="AE252" i="14"/>
  <c r="AF252" i="14" s="1"/>
  <c r="AD252" i="14"/>
  <c r="T252" i="14"/>
  <c r="AE244" i="14"/>
  <c r="AF244" i="14" s="1"/>
  <c r="AD244" i="14"/>
  <c r="T244" i="14"/>
  <c r="AE238" i="14"/>
  <c r="AF238" i="14" s="1"/>
  <c r="AD238" i="14"/>
  <c r="T238" i="14"/>
  <c r="AE200" i="14"/>
  <c r="AF200" i="14" s="1"/>
  <c r="AD200" i="14"/>
  <c r="T200" i="14"/>
  <c r="AE236" i="14"/>
  <c r="AF236" i="14" s="1"/>
  <c r="AD236" i="14"/>
  <c r="T236" i="14"/>
  <c r="AE84" i="14"/>
  <c r="AF84" i="14" s="1"/>
  <c r="AD84" i="14"/>
  <c r="T84" i="14"/>
  <c r="AE227" i="14"/>
  <c r="AF227" i="14" s="1"/>
  <c r="AD227" i="14"/>
  <c r="T227" i="14"/>
  <c r="AE214" i="14"/>
  <c r="AF214" i="14" s="1"/>
  <c r="AD214" i="14"/>
  <c r="T214" i="14"/>
  <c r="AE223" i="14"/>
  <c r="AF223" i="14" s="1"/>
  <c r="AD223" i="14"/>
  <c r="T223" i="14"/>
  <c r="AE222" i="14"/>
  <c r="AF222" i="14" s="1"/>
  <c r="AD222" i="14"/>
  <c r="T222" i="14"/>
  <c r="AE221" i="14"/>
  <c r="AF221" i="14" s="1"/>
  <c r="AD221" i="14"/>
  <c r="T221" i="14"/>
  <c r="AE218" i="14"/>
  <c r="AF218" i="14" s="1"/>
  <c r="AD218" i="14"/>
  <c r="T218" i="14"/>
  <c r="AE217" i="14"/>
  <c r="AF217" i="14" s="1"/>
  <c r="AD217" i="14"/>
  <c r="T217" i="14"/>
  <c r="AE216" i="14"/>
  <c r="AF216" i="14" s="1"/>
  <c r="AD216" i="14"/>
  <c r="T216" i="14"/>
  <c r="AE215" i="14"/>
  <c r="AF215" i="14" s="1"/>
  <c r="AD215" i="14"/>
  <c r="T215" i="14"/>
  <c r="AE213" i="14"/>
  <c r="AF213" i="14" s="1"/>
  <c r="AD213" i="14"/>
  <c r="T213" i="14"/>
  <c r="AE212" i="14"/>
  <c r="AF212" i="14" s="1"/>
  <c r="AD212" i="14"/>
  <c r="T212" i="14"/>
  <c r="AE211" i="14"/>
  <c r="AF211" i="14" s="1"/>
  <c r="AD211" i="14"/>
  <c r="T211" i="14"/>
  <c r="AE210" i="14"/>
  <c r="AF210" i="14" s="1"/>
  <c r="AD210" i="14"/>
  <c r="T210" i="14"/>
  <c r="AE209" i="14"/>
  <c r="AF209" i="14" s="1"/>
  <c r="AD209" i="14"/>
  <c r="T209" i="14"/>
  <c r="AE208" i="14"/>
  <c r="AF208" i="14" s="1"/>
  <c r="AD208" i="14"/>
  <c r="T208" i="14"/>
  <c r="AE207" i="14"/>
  <c r="AF207" i="14" s="1"/>
  <c r="AD207" i="14"/>
  <c r="T207" i="14"/>
  <c r="AE137" i="14"/>
  <c r="AF137" i="14" s="1"/>
  <c r="AD137" i="14"/>
  <c r="T137" i="14"/>
  <c r="AE205" i="14"/>
  <c r="AF205" i="14" s="1"/>
  <c r="AD205" i="14"/>
  <c r="T205" i="14"/>
  <c r="AE187" i="14"/>
  <c r="AF187" i="14" s="1"/>
  <c r="AD187" i="14"/>
  <c r="T187" i="14"/>
  <c r="AE203" i="14"/>
  <c r="AF203" i="14" s="1"/>
  <c r="AD203" i="14"/>
  <c r="T203" i="14"/>
  <c r="AE183" i="14"/>
  <c r="AF183" i="14" s="1"/>
  <c r="AD183" i="14"/>
  <c r="T183" i="14"/>
  <c r="AE194" i="14"/>
  <c r="AF194" i="14" s="1"/>
  <c r="AD194" i="14"/>
  <c r="T194" i="14"/>
  <c r="AE242" i="14"/>
  <c r="AF242" i="14" s="1"/>
  <c r="AD242" i="14"/>
  <c r="T242" i="14"/>
  <c r="AE192" i="14"/>
  <c r="AF192" i="14" s="1"/>
  <c r="AD192" i="14"/>
  <c r="T192" i="14"/>
  <c r="AE198" i="14"/>
  <c r="AF198" i="14" s="1"/>
  <c r="AD198" i="14"/>
  <c r="T198" i="14"/>
  <c r="AE136" i="14"/>
  <c r="AF136" i="14" s="1"/>
  <c r="AD136" i="14"/>
  <c r="T136" i="14"/>
  <c r="AE19" i="14"/>
  <c r="AF19" i="14" s="1"/>
  <c r="AD19" i="14"/>
  <c r="T19" i="14"/>
  <c r="AE156" i="14"/>
  <c r="AF156" i="14" s="1"/>
  <c r="AD156" i="14"/>
  <c r="T156" i="14"/>
  <c r="AE241" i="14"/>
  <c r="AF241" i="14" s="1"/>
  <c r="AD241" i="14"/>
  <c r="T241" i="14"/>
  <c r="AE182" i="14"/>
  <c r="AF182" i="14" s="1"/>
  <c r="AD182" i="14"/>
  <c r="T182" i="14"/>
  <c r="AE225" i="14"/>
  <c r="AF225" i="14" s="1"/>
  <c r="AD225" i="14"/>
  <c r="T225" i="14"/>
  <c r="AE184" i="14"/>
  <c r="AF184" i="14" s="1"/>
  <c r="AD184" i="14"/>
  <c r="T184" i="14"/>
  <c r="AE188" i="14"/>
  <c r="AF188" i="14" s="1"/>
  <c r="AD188" i="14"/>
  <c r="T188" i="14"/>
  <c r="AE240" i="14"/>
  <c r="AF240" i="14" s="1"/>
  <c r="AD240" i="14"/>
  <c r="T240" i="14"/>
  <c r="AE186" i="14"/>
  <c r="AF186" i="14" s="1"/>
  <c r="AD186" i="14"/>
  <c r="T186" i="14"/>
  <c r="AE185" i="14"/>
  <c r="AF185" i="14" s="1"/>
  <c r="AD185" i="14"/>
  <c r="T185" i="14"/>
  <c r="AE179" i="14"/>
  <c r="AF179" i="14" s="1"/>
  <c r="AD179" i="14"/>
  <c r="T179" i="14"/>
  <c r="AE230" i="14"/>
  <c r="AF230" i="14" s="1"/>
  <c r="AD230" i="14"/>
  <c r="T230" i="14"/>
  <c r="AE60" i="14"/>
  <c r="AF60" i="14" s="1"/>
  <c r="AD60" i="14"/>
  <c r="T60" i="14"/>
  <c r="AE37" i="14"/>
  <c r="AF37" i="14" s="1"/>
  <c r="AD37" i="14"/>
  <c r="T37" i="14"/>
  <c r="AE178" i="14"/>
  <c r="AF178" i="14" s="1"/>
  <c r="AD178" i="14"/>
  <c r="T178" i="14"/>
  <c r="AE177" i="14"/>
  <c r="AF177" i="14" s="1"/>
  <c r="AD177" i="14"/>
  <c r="T177" i="14"/>
  <c r="AE176" i="14"/>
  <c r="AF176" i="14" s="1"/>
  <c r="AD176" i="14"/>
  <c r="T176" i="14"/>
  <c r="AE175" i="14"/>
  <c r="AF175" i="14" s="1"/>
  <c r="AD175" i="14"/>
  <c r="T175" i="14"/>
  <c r="AE174" i="14"/>
  <c r="AF174" i="14" s="1"/>
  <c r="AD174" i="14"/>
  <c r="T174" i="14"/>
  <c r="AE173" i="14"/>
  <c r="AF173" i="14" s="1"/>
  <c r="AD173" i="14"/>
  <c r="T173" i="14"/>
  <c r="AE157" i="14"/>
  <c r="AF157" i="14" s="1"/>
  <c r="AD157" i="14"/>
  <c r="T157" i="14"/>
  <c r="AE172" i="14"/>
  <c r="AF172" i="14" s="1"/>
  <c r="AD172" i="14"/>
  <c r="T172" i="14"/>
  <c r="AE171" i="14"/>
  <c r="AF171" i="14" s="1"/>
  <c r="AD171" i="14"/>
  <c r="T171" i="14"/>
  <c r="AE170" i="14"/>
  <c r="AF170" i="14" s="1"/>
  <c r="AD170" i="14"/>
  <c r="T170" i="14"/>
  <c r="AE169" i="14"/>
  <c r="AF169" i="14" s="1"/>
  <c r="AD169" i="14"/>
  <c r="T169" i="14"/>
  <c r="AE90" i="14"/>
  <c r="AF90" i="14" s="1"/>
  <c r="AD90" i="14"/>
  <c r="T90" i="14"/>
  <c r="AE87" i="14"/>
  <c r="AF87" i="14" s="1"/>
  <c r="AD87" i="14"/>
  <c r="T87" i="14"/>
  <c r="AE88" i="14"/>
  <c r="AF88" i="14" s="1"/>
  <c r="AD88" i="14"/>
  <c r="T88" i="14"/>
  <c r="AE91" i="14"/>
  <c r="AF91" i="14" s="1"/>
  <c r="AD91" i="14"/>
  <c r="T91" i="14"/>
  <c r="AE168" i="14"/>
  <c r="AF168" i="14" s="1"/>
  <c r="AD168" i="14"/>
  <c r="T168" i="14"/>
  <c r="AE163" i="14"/>
  <c r="AF163" i="14" s="1"/>
  <c r="AD163" i="14"/>
  <c r="T163" i="14"/>
  <c r="AE162" i="14"/>
  <c r="AF162" i="14" s="1"/>
  <c r="AD162" i="14"/>
  <c r="T162" i="14"/>
  <c r="AE161" i="14"/>
  <c r="AF161" i="14" s="1"/>
  <c r="AD161" i="14"/>
  <c r="T161" i="14"/>
  <c r="AE111" i="14"/>
  <c r="AF111" i="14" s="1"/>
  <c r="AD111" i="14"/>
  <c r="T111" i="14"/>
  <c r="AE160" i="14"/>
  <c r="AF160" i="14" s="1"/>
  <c r="AD160" i="14"/>
  <c r="T160" i="14"/>
  <c r="AE99" i="14"/>
  <c r="AF99" i="14" s="1"/>
  <c r="AD99" i="14"/>
  <c r="T99" i="14"/>
  <c r="AE103" i="14"/>
  <c r="AF103" i="14" s="1"/>
  <c r="AD103" i="14"/>
  <c r="T103" i="14"/>
  <c r="AE158" i="14"/>
  <c r="AF158" i="14" s="1"/>
  <c r="AD158" i="14"/>
  <c r="T158" i="14"/>
  <c r="AE97" i="14"/>
  <c r="AF97" i="14" s="1"/>
  <c r="AD97" i="14"/>
  <c r="T97" i="14"/>
  <c r="AE155" i="14"/>
  <c r="AF155" i="14" s="1"/>
  <c r="AD155" i="14"/>
  <c r="T155" i="14"/>
  <c r="AE101" i="14"/>
  <c r="AF101" i="14" s="1"/>
  <c r="AD101" i="14"/>
  <c r="T101" i="14"/>
  <c r="AE100" i="14"/>
  <c r="AF100" i="14" s="1"/>
  <c r="AD100" i="14"/>
  <c r="T100" i="14"/>
  <c r="AE98" i="14"/>
  <c r="AF98" i="14" s="1"/>
  <c r="AD98" i="14"/>
  <c r="T98" i="14"/>
  <c r="AE94" i="14"/>
  <c r="AF94" i="14" s="1"/>
  <c r="AD94" i="14"/>
  <c r="T94" i="14"/>
  <c r="AE153" i="14"/>
  <c r="AF153" i="14" s="1"/>
  <c r="AD153" i="14"/>
  <c r="T153" i="14"/>
  <c r="AE148" i="14"/>
  <c r="AF148" i="14" s="1"/>
  <c r="AD148" i="14"/>
  <c r="T148" i="14"/>
  <c r="AE147" i="14"/>
  <c r="AF147" i="14" s="1"/>
  <c r="AD147" i="14"/>
  <c r="T147" i="14"/>
  <c r="AE146" i="14"/>
  <c r="AF146" i="14" s="1"/>
  <c r="AD146" i="14"/>
  <c r="T146" i="14"/>
  <c r="AE145" i="14"/>
  <c r="AF145" i="14" s="1"/>
  <c r="AD145" i="14"/>
  <c r="T145" i="14"/>
  <c r="AE144" i="14"/>
  <c r="AF144" i="14" s="1"/>
  <c r="AD144" i="14"/>
  <c r="T144" i="14"/>
  <c r="AE143" i="14"/>
  <c r="AF143" i="14" s="1"/>
  <c r="AD143" i="14"/>
  <c r="T143" i="14"/>
  <c r="AE141" i="14"/>
  <c r="AF141" i="14" s="1"/>
  <c r="AD141" i="14"/>
  <c r="T141" i="14"/>
  <c r="AE140" i="14"/>
  <c r="AF140" i="14" s="1"/>
  <c r="AD140" i="14"/>
  <c r="T140" i="14"/>
  <c r="AE139" i="14"/>
  <c r="AF139" i="14" s="1"/>
  <c r="AD139" i="14"/>
  <c r="T139" i="14"/>
  <c r="AE96" i="14"/>
  <c r="AF96" i="14" s="1"/>
  <c r="AD96" i="14"/>
  <c r="T96" i="14"/>
  <c r="T62" i="14"/>
  <c r="AE122" i="14"/>
  <c r="AF122" i="14" s="1"/>
  <c r="AD122" i="14"/>
  <c r="T122" i="14"/>
  <c r="AE191" i="14"/>
  <c r="AF191" i="14" s="1"/>
  <c r="AD191" i="14"/>
  <c r="T191" i="14"/>
  <c r="AE134" i="14"/>
  <c r="AF134" i="14" s="1"/>
  <c r="AD134" i="14"/>
  <c r="T134" i="14"/>
  <c r="AE133" i="14"/>
  <c r="AF133" i="14" s="1"/>
  <c r="AD133" i="14"/>
  <c r="T133" i="14"/>
  <c r="AE132" i="14"/>
  <c r="AF132" i="14" s="1"/>
  <c r="AD132" i="14"/>
  <c r="T132" i="14"/>
  <c r="AE131" i="14"/>
  <c r="AF131" i="14" s="1"/>
  <c r="AD131" i="14"/>
  <c r="T131" i="14"/>
  <c r="AE130" i="14"/>
  <c r="AF130" i="14" s="1"/>
  <c r="AD130" i="14"/>
  <c r="T130" i="14"/>
  <c r="AE129" i="14"/>
  <c r="AF129" i="14" s="1"/>
  <c r="AD129" i="14"/>
  <c r="T129"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90" i="14"/>
  <c r="AF190" i="14" s="1"/>
  <c r="AD190" i="14"/>
  <c r="T190" i="14"/>
  <c r="AE201" i="14"/>
  <c r="AF201" i="14" s="1"/>
  <c r="AD201" i="14"/>
  <c r="T201" i="14"/>
  <c r="AE120" i="14"/>
  <c r="AF120" i="14" s="1"/>
  <c r="AD120" i="14"/>
  <c r="T120" i="14"/>
  <c r="AE119" i="14"/>
  <c r="AF119" i="14" s="1"/>
  <c r="AD119" i="14"/>
  <c r="T119" i="14"/>
  <c r="AE112" i="14"/>
  <c r="AF112" i="14" s="1"/>
  <c r="AD112" i="14"/>
  <c r="T112" i="14"/>
  <c r="AE117" i="14"/>
  <c r="AF117" i="14" s="1"/>
  <c r="AD117" i="14"/>
  <c r="T117" i="14"/>
  <c r="AE135" i="14"/>
  <c r="AF135" i="14" s="1"/>
  <c r="AD135" i="14"/>
  <c r="T135" i="14"/>
  <c r="AE138" i="14"/>
  <c r="AF138" i="14" s="1"/>
  <c r="AD138" i="14"/>
  <c r="T138" i="14"/>
  <c r="AE114" i="14"/>
  <c r="AF114" i="14" s="1"/>
  <c r="AD114" i="14"/>
  <c r="T114" i="14"/>
  <c r="AE121" i="14"/>
  <c r="AF121" i="14" s="1"/>
  <c r="AD121" i="14"/>
  <c r="T121" i="14"/>
  <c r="AE181" i="14"/>
  <c r="AF181" i="14" s="1"/>
  <c r="AD181" i="14"/>
  <c r="T181" i="14"/>
  <c r="AE78" i="14"/>
  <c r="AF78" i="14" s="1"/>
  <c r="AD78" i="14"/>
  <c r="T78" i="14"/>
  <c r="AE110" i="14"/>
  <c r="AF110" i="14" s="1"/>
  <c r="AD110" i="14"/>
  <c r="T110" i="14"/>
  <c r="AE106" i="14"/>
  <c r="AF106" i="14" s="1"/>
  <c r="AD106" i="14"/>
  <c r="T106" i="14"/>
  <c r="AE108" i="14"/>
  <c r="AF108" i="14" s="1"/>
  <c r="AD108" i="14"/>
  <c r="T108" i="14"/>
  <c r="AE104" i="14"/>
  <c r="AF104" i="14" s="1"/>
  <c r="AD104" i="14"/>
  <c r="T104" i="14"/>
  <c r="AE50" i="14"/>
  <c r="AF50" i="14" s="1"/>
  <c r="AD50" i="14"/>
  <c r="T50" i="14"/>
  <c r="AE102" i="14"/>
  <c r="AF102" i="14" s="1"/>
  <c r="AD102" i="14"/>
  <c r="T102" i="14"/>
  <c r="AE228" i="14"/>
  <c r="AF228" i="14" s="1"/>
  <c r="AD228" i="14"/>
  <c r="T228" i="14"/>
  <c r="AE197" i="14"/>
  <c r="AF197" i="14" s="1"/>
  <c r="AD197" i="14"/>
  <c r="T197" i="14"/>
  <c r="AE226" i="14"/>
  <c r="AF226" i="14" s="1"/>
  <c r="AD226" i="14"/>
  <c r="T226" i="14"/>
  <c r="AE167" i="14"/>
  <c r="AF167" i="14" s="1"/>
  <c r="AD167" i="14"/>
  <c r="T167" i="14"/>
  <c r="AE224" i="14"/>
  <c r="AF224" i="14" s="1"/>
  <c r="AD224" i="14"/>
  <c r="T224" i="14"/>
  <c r="AE48" i="14"/>
  <c r="AF48" i="14" s="1"/>
  <c r="AD48" i="14"/>
  <c r="T48" i="14"/>
  <c r="AE95" i="14"/>
  <c r="AF95" i="14" s="1"/>
  <c r="AD95" i="14"/>
  <c r="T95" i="14"/>
  <c r="AE220" i="14"/>
  <c r="AF220" i="14" s="1"/>
  <c r="AD220" i="14"/>
  <c r="T220" i="14"/>
  <c r="AE92" i="14"/>
  <c r="AF92" i="14" s="1"/>
  <c r="AD92" i="14"/>
  <c r="T92" i="14"/>
  <c r="AE165" i="14"/>
  <c r="AF165" i="14" s="1"/>
  <c r="AD165" i="14"/>
  <c r="T165" i="14"/>
  <c r="AE159" i="14"/>
  <c r="AF159" i="14" s="1"/>
  <c r="AD159" i="14"/>
  <c r="T159" i="14"/>
  <c r="AE142" i="14"/>
  <c r="AF142" i="14" s="1"/>
  <c r="AD142" i="14"/>
  <c r="T142" i="14"/>
  <c r="AE89" i="14"/>
  <c r="AF89" i="14" s="1"/>
  <c r="AD89" i="14"/>
  <c r="T89" i="14"/>
  <c r="AE206" i="14"/>
  <c r="AF206" i="14" s="1"/>
  <c r="AD206" i="14"/>
  <c r="T206" i="14"/>
  <c r="AE118" i="14"/>
  <c r="AF118" i="14" s="1"/>
  <c r="AD118" i="14"/>
  <c r="T118" i="14"/>
  <c r="AE151" i="14"/>
  <c r="AF151" i="14" s="1"/>
  <c r="AD151" i="14"/>
  <c r="T151" i="14"/>
  <c r="AE166" i="14"/>
  <c r="AF166" i="14" s="1"/>
  <c r="AD166" i="14"/>
  <c r="T166" i="14"/>
  <c r="AE83" i="14"/>
  <c r="AF83" i="14" s="1"/>
  <c r="AD83" i="14"/>
  <c r="T83" i="14"/>
  <c r="AE82" i="14"/>
  <c r="AF82" i="14" s="1"/>
  <c r="AD82" i="14"/>
  <c r="T82" i="14"/>
  <c r="AE81" i="14"/>
  <c r="AF81" i="14" s="1"/>
  <c r="AD81" i="14"/>
  <c r="T81" i="14"/>
  <c r="AE80" i="14"/>
  <c r="AF80" i="14" s="1"/>
  <c r="AD80" i="14"/>
  <c r="T80" i="14"/>
  <c r="AE79" i="14"/>
  <c r="AF79" i="14" s="1"/>
  <c r="AD79" i="14"/>
  <c r="T79" i="14"/>
  <c r="AE193" i="14"/>
  <c r="AF193" i="14" s="1"/>
  <c r="AD193" i="14"/>
  <c r="T193" i="14"/>
  <c r="AE77" i="14"/>
  <c r="AF77" i="14" s="1"/>
  <c r="AD77" i="14"/>
  <c r="T77" i="14"/>
  <c r="AE76" i="14"/>
  <c r="AF76" i="14" s="1"/>
  <c r="AD76" i="14"/>
  <c r="T76"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196" i="14"/>
  <c r="AF196" i="14" s="1"/>
  <c r="AD196" i="14"/>
  <c r="T196" i="14"/>
  <c r="AE195" i="14"/>
  <c r="AF195" i="14" s="1"/>
  <c r="AD195" i="14"/>
  <c r="T195" i="14"/>
  <c r="AE61" i="14"/>
  <c r="AF61" i="14" s="1"/>
  <c r="AD61" i="14"/>
  <c r="T61" i="14"/>
  <c r="AE58" i="14"/>
  <c r="AF58" i="14" s="1"/>
  <c r="AD58" i="14"/>
  <c r="T58" i="14"/>
  <c r="AE59" i="14"/>
  <c r="AF59" i="14" s="1"/>
  <c r="AD59" i="14"/>
  <c r="T59"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3" i="14"/>
  <c r="AF93" i="14" s="1"/>
  <c r="AD93" i="14"/>
  <c r="T93" i="14"/>
  <c r="AE47" i="14"/>
  <c r="AF47" i="14" s="1"/>
  <c r="AD47" i="14"/>
  <c r="T47" i="14"/>
  <c r="AE149" i="14"/>
  <c r="AF149" i="14" s="1"/>
  <c r="AD149" i="14"/>
  <c r="T149"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19" i="14"/>
  <c r="AF219" i="14" s="1"/>
  <c r="AD219" i="14"/>
  <c r="T219" i="14"/>
  <c r="AE152" i="14"/>
  <c r="AF152" i="14" s="1"/>
  <c r="AD152" i="14"/>
  <c r="T152" i="14"/>
  <c r="AE232" i="14"/>
  <c r="AF232" i="14" s="1"/>
  <c r="AD232" i="14"/>
  <c r="T232" i="14"/>
  <c r="AE35" i="14"/>
  <c r="AF35" i="14" s="1"/>
  <c r="AD35" i="14"/>
  <c r="T35" i="14"/>
  <c r="AE34" i="14"/>
  <c r="AF34" i="14" s="1"/>
  <c r="AD34" i="14"/>
  <c r="T34" i="14"/>
  <c r="AE33" i="14"/>
  <c r="AF33" i="14" s="1"/>
  <c r="AD33" i="14"/>
  <c r="T33" i="14"/>
  <c r="AE32" i="14"/>
  <c r="AF32" i="14" s="1"/>
  <c r="AD32" i="14"/>
  <c r="T32" i="14"/>
  <c r="AE31" i="14"/>
  <c r="AF31" i="14" s="1"/>
  <c r="AD31" i="14"/>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50" i="14"/>
  <c r="AF150" i="14" s="1"/>
  <c r="AD150" i="14"/>
  <c r="T150" i="14"/>
  <c r="AE18" i="14"/>
  <c r="AF18" i="14" s="1"/>
  <c r="AD18" i="14"/>
  <c r="T18" i="14"/>
  <c r="AE17" i="14"/>
  <c r="AF17" i="14" s="1"/>
  <c r="AD17" i="14"/>
  <c r="T17"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E5" i="14"/>
  <c r="AF5" i="14" s="1"/>
  <c r="AD5" i="14"/>
  <c r="T5" i="14"/>
  <c r="CD2" i="62"/>
  <c r="CD6" i="62"/>
  <c r="CD3" i="62"/>
  <c r="CD7" i="62"/>
  <c r="CD8" i="62"/>
  <c r="Q1" i="86"/>
  <c r="G132" i="86"/>
  <c r="I132" i="86"/>
  <c r="AC9" i="20"/>
  <c r="AE13" i="20"/>
  <c r="I160" i="86"/>
  <c r="H95" i="86"/>
  <c r="AE14" i="20"/>
  <c r="H148" i="86"/>
  <c r="I101" i="86"/>
  <c r="I79" i="86"/>
  <c r="AD9" i="20"/>
  <c r="G142" i="86"/>
  <c r="AC15" i="20"/>
  <c r="I95" i="86"/>
  <c r="I148" i="86"/>
  <c r="G147" i="86"/>
  <c r="G103" i="86"/>
  <c r="G22" i="86"/>
  <c r="G13" i="86"/>
  <c r="I147" i="86"/>
  <c r="I135" i="86"/>
  <c r="G158" i="86"/>
  <c r="I96" i="86"/>
  <c r="H162" i="86"/>
  <c r="I43" i="86"/>
  <c r="I23" i="86"/>
  <c r="H159" i="86"/>
  <c r="G159" i="86"/>
  <c r="AC16" i="20"/>
  <c r="AE16" i="20"/>
  <c r="AE19" i="20"/>
  <c r="AC19" i="20"/>
  <c r="G88" i="86"/>
  <c r="I82" i="86"/>
  <c r="G82" i="86"/>
  <c r="I6" i="86"/>
  <c r="G43" i="86"/>
  <c r="G6" i="86"/>
  <c r="G23" i="86"/>
  <c r="G100" i="86"/>
  <c r="H43" i="86"/>
  <c r="H6" i="86"/>
  <c r="G135" i="86"/>
  <c r="G96" i="86"/>
  <c r="AC18" i="20"/>
  <c r="AC11" i="20"/>
  <c r="AD6" i="20"/>
  <c r="AD10" i="20"/>
  <c r="G165" i="86"/>
  <c r="AD12" i="20"/>
  <c r="I22" i="86"/>
  <c r="AC10" i="20"/>
  <c r="AE9" i="20"/>
  <c r="AC12" i="20"/>
  <c r="AD13" i="20"/>
  <c r="G160" i="86"/>
  <c r="AD18" i="20"/>
  <c r="I162" i="86"/>
  <c r="AD16" i="20"/>
  <c r="I142" i="86"/>
  <c r="AE12" i="20"/>
  <c r="AD11" i="20"/>
  <c r="AD19" i="20"/>
  <c r="H160" i="86"/>
  <c r="AD17" i="20"/>
  <c r="AE15" i="20"/>
  <c r="AC14" i="20"/>
  <c r="H136" i="86"/>
  <c r="H158" i="86"/>
  <c r="H147" i="86"/>
  <c r="H103" i="86"/>
  <c r="H79" i="86"/>
  <c r="H13" i="86"/>
  <c r="H132" i="86"/>
  <c r="H2" i="86"/>
  <c r="H22" i="86"/>
  <c r="I88" i="86"/>
  <c r="G79" i="86"/>
  <c r="I103" i="86"/>
  <c r="G101" i="86"/>
  <c r="H135" i="86"/>
  <c r="I159" i="86"/>
  <c r="G120" i="86"/>
  <c r="I100" i="86"/>
  <c r="H96" i="86"/>
  <c r="G95" i="86"/>
  <c r="M95" i="86" s="1"/>
  <c r="AD15" i="20"/>
  <c r="AE18" i="20"/>
  <c r="AC13" i="20"/>
  <c r="AE11" i="20"/>
  <c r="AC6"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G161" i="86"/>
  <c r="I158" i="86"/>
  <c r="I157" i="86"/>
  <c r="H156" i="86"/>
  <c r="I155" i="86"/>
  <c r="G154" i="86"/>
  <c r="G153" i="86"/>
  <c r="G151" i="86"/>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M116" i="86" s="1"/>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H120" i="86"/>
  <c r="G117" i="86"/>
  <c r="I98" i="86"/>
  <c r="G94" i="86"/>
  <c r="I91" i="86"/>
  <c r="I78" i="86"/>
  <c r="H74" i="86"/>
  <c r="G73" i="86"/>
  <c r="I69" i="86"/>
  <c r="G65" i="86"/>
  <c r="I50" i="86"/>
  <c r="G49" i="86"/>
  <c r="I48" i="86"/>
  <c r="G45" i="86"/>
  <c r="I44" i="86"/>
  <c r="H42" i="86"/>
  <c r="H41" i="86"/>
  <c r="I39" i="86"/>
  <c r="I38" i="86"/>
  <c r="H36" i="86"/>
  <c r="G35" i="86"/>
  <c r="G34" i="86"/>
  <c r="H33" i="86"/>
  <c r="I31" i="86"/>
  <c r="I30" i="86"/>
  <c r="H28" i="86"/>
  <c r="G27" i="86"/>
  <c r="G26" i="86"/>
  <c r="G25" i="86"/>
  <c r="I24" i="86"/>
  <c r="H23" i="86"/>
  <c r="H21" i="86"/>
  <c r="H123" i="86"/>
  <c r="G114" i="86"/>
  <c r="H111" i="86"/>
  <c r="I107" i="86"/>
  <c r="I70" i="86"/>
  <c r="G60" i="86"/>
  <c r="H55" i="86"/>
  <c r="H54" i="86"/>
  <c r="G50" i="86"/>
  <c r="H48" i="86"/>
  <c r="I47" i="86"/>
  <c r="I46" i="86"/>
  <c r="H44" i="86"/>
  <c r="G42" i="86"/>
  <c r="G41" i="86"/>
  <c r="I40" i="86"/>
  <c r="H39" i="86"/>
  <c r="H38" i="86"/>
  <c r="I37" i="86"/>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G2" i="86"/>
  <c r="G16" i="86"/>
  <c r="H14" i="86"/>
  <c r="I12" i="86"/>
  <c r="G11" i="86"/>
  <c r="G10" i="86"/>
  <c r="G9" i="86"/>
  <c r="I8" i="86"/>
  <c r="H7" i="86"/>
  <c r="H5" i="86"/>
  <c r="I3" i="86"/>
  <c r="G139" i="86"/>
  <c r="H139" i="86"/>
  <c r="G97" i="86"/>
  <c r="I97" i="86"/>
  <c r="H99" i="86"/>
  <c r="H97" i="86"/>
  <c r="G99" i="86"/>
  <c r="H100" i="86"/>
  <c r="I139" i="86"/>
  <c r="I99" i="86"/>
  <c r="H88" i="86"/>
  <c r="G148" i="86"/>
  <c r="I165" i="86"/>
  <c r="AN30" i="94"/>
  <c r="AJ70" i="94"/>
  <c r="AO70" i="94"/>
  <c r="C17" i="62"/>
  <c r="D13" i="62"/>
  <c r="C10" i="62"/>
  <c r="D28" i="62"/>
  <c r="D10" i="62"/>
  <c r="C25" i="62"/>
  <c r="C23" i="62"/>
  <c r="D23" i="62"/>
  <c r="D21" i="62"/>
  <c r="D16" i="62"/>
  <c r="C19" i="62"/>
  <c r="C28" i="62"/>
  <c r="C12" i="62"/>
  <c r="C21" i="62"/>
  <c r="C27" i="62"/>
  <c r="C14" i="62"/>
  <c r="D27" i="62"/>
  <c r="C18" i="62"/>
  <c r="C15" i="62"/>
  <c r="D17" i="62"/>
  <c r="D11" i="62"/>
  <c r="C26" i="62"/>
  <c r="D19" i="62"/>
  <c r="D20" i="62"/>
  <c r="D12" i="62"/>
  <c r="D25" i="62"/>
  <c r="D24" i="62"/>
  <c r="C20" i="62"/>
  <c r="D18" i="62"/>
  <c r="C22" i="62"/>
  <c r="D15" i="62"/>
  <c r="D14" i="62"/>
  <c r="D22" i="62"/>
  <c r="C16" i="62"/>
  <c r="D29" i="62"/>
  <c r="C24" i="62"/>
  <c r="D26" i="62"/>
  <c r="C29" i="62"/>
  <c r="C13" i="62"/>
  <c r="C11" i="62"/>
  <c r="AB19" i="43"/>
  <c r="AB16" i="43"/>
  <c r="AB13" i="43"/>
  <c r="AB10" i="43"/>
  <c r="AB11" i="43"/>
  <c r="AB14" i="43"/>
  <c r="AB17" i="43"/>
  <c r="AB18" i="43"/>
  <c r="AB15" i="43"/>
  <c r="AB12" i="43"/>
  <c r="H48" i="94" l="1"/>
  <c r="Y8" i="66"/>
  <c r="U172" i="19"/>
  <c r="H173" i="19"/>
  <c r="F19" i="62"/>
  <c r="F18" i="62"/>
  <c r="AI9" i="66"/>
  <c r="H45" i="94"/>
  <c r="AI3" i="66"/>
  <c r="AI15" i="66"/>
  <c r="M6" i="86"/>
  <c r="M149" i="86"/>
  <c r="M166" i="86"/>
  <c r="M142" i="86"/>
  <c r="M100" i="86"/>
  <c r="M74" i="86"/>
  <c r="M62" i="86"/>
  <c r="M80" i="86"/>
  <c r="M92" i="86"/>
  <c r="M141" i="86"/>
  <c r="M160" i="86"/>
  <c r="Y6" i="66"/>
  <c r="G48" i="94"/>
  <c r="G45" i="94"/>
  <c r="M4" i="86"/>
  <c r="M67" i="86"/>
  <c r="M84" i="86"/>
  <c r="M148" i="86"/>
  <c r="M118" i="86"/>
  <c r="M124" i="86"/>
  <c r="M131" i="86"/>
  <c r="M153" i="86"/>
  <c r="M128" i="86"/>
  <c r="M96" i="86"/>
  <c r="M103" i="86"/>
  <c r="M11" i="86"/>
  <c r="M13" i="86"/>
  <c r="M115" i="86"/>
  <c r="M155" i="86"/>
  <c r="M122" i="86"/>
  <c r="M167" i="86"/>
  <c r="M135" i="86"/>
  <c r="M21" i="86"/>
  <c r="M107" i="86"/>
  <c r="M73" i="86"/>
  <c r="M25" i="86"/>
  <c r="M35" i="86"/>
  <c r="M136" i="86"/>
  <c r="M150" i="86"/>
  <c r="M79" i="86"/>
  <c r="M147" i="86"/>
  <c r="L153" i="86"/>
  <c r="M14" i="86"/>
  <c r="M3" i="86"/>
  <c r="M18" i="86"/>
  <c r="M85" i="86"/>
  <c r="M89" i="86"/>
  <c r="M125" i="86"/>
  <c r="M55" i="86"/>
  <c r="M66" i="86"/>
  <c r="M78" i="86"/>
  <c r="M152" i="86"/>
  <c r="M168" i="86"/>
  <c r="M133" i="86"/>
  <c r="M154" i="86"/>
  <c r="M123" i="86"/>
  <c r="M137" i="86"/>
  <c r="M22" i="86"/>
  <c r="M69" i="86"/>
  <c r="M63" i="86"/>
  <c r="M113" i="86"/>
  <c r="M143" i="86"/>
  <c r="M161" i="86"/>
  <c r="M60" i="86"/>
  <c r="M90" i="86"/>
  <c r="M64" i="86"/>
  <c r="M87" i="86"/>
  <c r="M129" i="86"/>
  <c r="M157" i="86"/>
  <c r="M134" i="86"/>
  <c r="M9" i="86"/>
  <c r="M41" i="86"/>
  <c r="M50" i="86"/>
  <c r="M68" i="86"/>
  <c r="M93" i="86"/>
  <c r="M130" i="86"/>
  <c r="M144" i="86"/>
  <c r="M40" i="86"/>
  <c r="M109" i="86"/>
  <c r="M20" i="86"/>
  <c r="M19" i="86"/>
  <c r="M48" i="86"/>
  <c r="M119" i="86"/>
  <c r="M121" i="86"/>
  <c r="M37" i="86"/>
  <c r="M51" i="86"/>
  <c r="M54" i="86"/>
  <c r="M98" i="86"/>
  <c r="M61" i="86"/>
  <c r="M105" i="86"/>
  <c r="M163" i="86"/>
  <c r="M146" i="86"/>
  <c r="M151" i="86"/>
  <c r="M138" i="86"/>
  <c r="M164" i="86"/>
  <c r="M43" i="86"/>
  <c r="M132" i="86"/>
  <c r="M26" i="86"/>
  <c r="M44" i="86"/>
  <c r="M76" i="86"/>
  <c r="M77" i="86"/>
  <c r="M86" i="86"/>
  <c r="M127" i="86"/>
  <c r="M140" i="86"/>
  <c r="M165" i="86"/>
  <c r="M156" i="86"/>
  <c r="M158" i="86"/>
  <c r="M88" i="86"/>
  <c r="M101" i="86"/>
  <c r="M5" i="86"/>
  <c r="M16" i="86"/>
  <c r="M2" i="86"/>
  <c r="M65" i="86"/>
  <c r="M57" i="86"/>
  <c r="M23" i="86"/>
  <c r="M102" i="86"/>
  <c r="M108" i="86"/>
  <c r="M56" i="86"/>
  <c r="M72" i="86"/>
  <c r="M70" i="86"/>
  <c r="M30" i="86"/>
  <c r="M91" i="86"/>
  <c r="M120" i="86"/>
  <c r="M29" i="86"/>
  <c r="M47" i="86"/>
  <c r="M46" i="86"/>
  <c r="M94" i="86"/>
  <c r="M104" i="86"/>
  <c r="M99" i="86"/>
  <c r="M8" i="86"/>
  <c r="M58" i="86"/>
  <c r="M159" i="86"/>
  <c r="M162" i="86"/>
  <c r="M82" i="86"/>
  <c r="J13" i="86"/>
  <c r="J23" i="86"/>
  <c r="M145" i="86"/>
  <c r="M97" i="86"/>
  <c r="M7" i="86"/>
  <c r="M17" i="86"/>
  <c r="M15" i="86"/>
  <c r="M42" i="86"/>
  <c r="M114" i="86"/>
  <c r="M24" i="86"/>
  <c r="M34" i="86"/>
  <c r="M39" i="86"/>
  <c r="M45" i="86"/>
  <c r="M117" i="86"/>
  <c r="M27" i="86"/>
  <c r="M32" i="86"/>
  <c r="M38" i="86"/>
  <c r="M52" i="86"/>
  <c r="M71" i="86"/>
  <c r="M112" i="86"/>
  <c r="M126" i="86"/>
  <c r="M59" i="86"/>
  <c r="M75" i="86"/>
  <c r="M83" i="86"/>
  <c r="M106" i="86"/>
  <c r="M49" i="86"/>
  <c r="M53" i="86"/>
  <c r="M111" i="86"/>
  <c r="M81" i="86"/>
  <c r="M31" i="86"/>
  <c r="M139" i="86"/>
  <c r="M10" i="86"/>
  <c r="M12" i="86"/>
  <c r="M33" i="86"/>
  <c r="K3" i="86"/>
  <c r="J5" i="86"/>
  <c r="L7" i="86"/>
  <c r="K9" i="86"/>
  <c r="K11" i="86"/>
  <c r="L15" i="86"/>
  <c r="J17" i="86"/>
  <c r="K19" i="86"/>
  <c r="L21" i="86"/>
  <c r="K25" i="86"/>
  <c r="J27" i="86"/>
  <c r="L29" i="86"/>
  <c r="L31" i="86"/>
  <c r="L33" i="86"/>
  <c r="J35" i="86"/>
  <c r="L37" i="86"/>
  <c r="K39" i="86"/>
  <c r="L41" i="86"/>
  <c r="J43" i="86"/>
  <c r="J139" i="86"/>
  <c r="K45" i="86"/>
  <c r="K47" i="86"/>
  <c r="J49" i="86"/>
  <c r="L51" i="86"/>
  <c r="L53" i="86"/>
  <c r="J55" i="86"/>
  <c r="L57" i="86"/>
  <c r="J59" i="86"/>
  <c r="J61" i="86"/>
  <c r="L63" i="86"/>
  <c r="J65" i="86"/>
  <c r="K67" i="86"/>
  <c r="K69" i="86"/>
  <c r="K71" i="86"/>
  <c r="J73" i="86"/>
  <c r="J75" i="86"/>
  <c r="L77" i="86"/>
  <c r="K79" i="86"/>
  <c r="K81" i="86"/>
  <c r="J83" i="86"/>
  <c r="J85" i="86"/>
  <c r="J87" i="86"/>
  <c r="J89" i="86"/>
  <c r="J91" i="86"/>
  <c r="K93" i="86"/>
  <c r="L95" i="86"/>
  <c r="J97" i="86"/>
  <c r="L99" i="86"/>
  <c r="J101" i="86"/>
  <c r="K103" i="86"/>
  <c r="L105" i="86"/>
  <c r="K107" i="86"/>
  <c r="J109" i="86"/>
  <c r="J111" i="86"/>
  <c r="L113" i="86"/>
  <c r="L115" i="86"/>
  <c r="L117" i="86"/>
  <c r="L119" i="86"/>
  <c r="L121" i="86"/>
  <c r="J123" i="86"/>
  <c r="K125" i="86"/>
  <c r="L127" i="86"/>
  <c r="L129" i="86"/>
  <c r="K131" i="86"/>
  <c r="K133" i="86"/>
  <c r="K135" i="86"/>
  <c r="L137" i="86"/>
  <c r="K139" i="86"/>
  <c r="L141" i="86"/>
  <c r="L143" i="86"/>
  <c r="K145" i="86"/>
  <c r="J147" i="86"/>
  <c r="K149" i="86"/>
  <c r="K151" i="86"/>
  <c r="K153" i="86"/>
  <c r="K155" i="86"/>
  <c r="J157" i="86"/>
  <c r="J159" i="86"/>
  <c r="J161" i="86"/>
  <c r="L163" i="86"/>
  <c r="L165" i="86"/>
  <c r="K167" i="86"/>
  <c r="J2" i="86"/>
  <c r="K4" i="86"/>
  <c r="J6" i="86"/>
  <c r="J8" i="86"/>
  <c r="L10" i="86"/>
  <c r="J12" i="86"/>
  <c r="J14" i="86"/>
  <c r="L16" i="86"/>
  <c r="J18" i="86"/>
  <c r="L20" i="86"/>
  <c r="L22" i="86"/>
  <c r="K24" i="86"/>
  <c r="K26" i="86"/>
  <c r="L28" i="86"/>
  <c r="L30" i="86"/>
  <c r="J32" i="86"/>
  <c r="L34" i="86"/>
  <c r="L36" i="86"/>
  <c r="K38" i="86"/>
  <c r="L40" i="86"/>
  <c r="L42" i="86"/>
  <c r="K44" i="86"/>
  <c r="L46" i="86"/>
  <c r="J48" i="86"/>
  <c r="J50" i="86"/>
  <c r="J52" i="86"/>
  <c r="L54" i="86"/>
  <c r="L56" i="86"/>
  <c r="K58" i="86"/>
  <c r="L60" i="86"/>
  <c r="L62" i="86"/>
  <c r="L64" i="86"/>
  <c r="J66" i="86"/>
  <c r="L68" i="86"/>
  <c r="J70" i="86"/>
  <c r="K72" i="86"/>
  <c r="K74" i="86"/>
  <c r="L76" i="86"/>
  <c r="L78" i="86"/>
  <c r="L80" i="86"/>
  <c r="K82" i="86"/>
  <c r="J84" i="86"/>
  <c r="L86" i="86"/>
  <c r="L88" i="86"/>
  <c r="K90" i="86"/>
  <c r="K92" i="86"/>
  <c r="J94" i="86"/>
  <c r="J96" i="86"/>
  <c r="J98" i="86"/>
  <c r="L100" i="86"/>
  <c r="J102" i="86"/>
  <c r="J104" i="86"/>
  <c r="L106" i="86"/>
  <c r="J108" i="86"/>
  <c r="L110" i="86"/>
  <c r="L112" i="86"/>
  <c r="J114" i="86"/>
  <c r="K116" i="86"/>
  <c r="K118" i="86"/>
  <c r="L120" i="86"/>
  <c r="K122" i="86"/>
  <c r="J124" i="86"/>
  <c r="K126" i="86"/>
  <c r="K128" i="86"/>
  <c r="L130" i="86"/>
  <c r="J132" i="86"/>
  <c r="K134" i="86"/>
  <c r="J136" i="86"/>
  <c r="L138" i="86"/>
  <c r="L140" i="86"/>
  <c r="J142" i="86"/>
  <c r="K144" i="86"/>
  <c r="J146" i="86"/>
  <c r="L148" i="86"/>
  <c r="K150" i="86"/>
  <c r="K152" i="86"/>
  <c r="K154" i="86"/>
  <c r="L156" i="86"/>
  <c r="K158" i="86"/>
  <c r="J160" i="86"/>
  <c r="K162" i="86"/>
  <c r="K164" i="86"/>
  <c r="L166" i="86"/>
  <c r="J168" i="86"/>
  <c r="Y18" i="66"/>
  <c r="AI5" i="66"/>
  <c r="C49" i="94"/>
  <c r="G47" i="94"/>
  <c r="Y22" i="66"/>
  <c r="Y16" i="66"/>
  <c r="AI12" i="66"/>
  <c r="Y7" i="66"/>
  <c r="AI24" i="66"/>
  <c r="C31" i="94"/>
  <c r="D31" i="94"/>
  <c r="B41" i="92"/>
  <c r="Y17" i="66"/>
  <c r="H46" i="94"/>
  <c r="Y23" i="66"/>
  <c r="E49" i="94"/>
  <c r="B50" i="92"/>
  <c r="C40" i="94"/>
  <c r="AI10" i="66"/>
  <c r="E31" i="94"/>
  <c r="G46" i="94"/>
  <c r="D49" i="94"/>
  <c r="F49" i="94"/>
  <c r="Y11" i="66"/>
  <c r="Y25" i="66"/>
  <c r="Y4" i="66"/>
  <c r="Y14" i="66"/>
  <c r="Y21" i="66"/>
  <c r="X13" i="66"/>
  <c r="X26" i="66" s="1"/>
  <c r="M173" i="19"/>
  <c r="AG26" i="66"/>
  <c r="Z26" i="66" s="1"/>
  <c r="Z4" i="66"/>
  <c r="D40" i="94"/>
  <c r="Y19" i="66"/>
  <c r="E40" i="94"/>
  <c r="H47" i="94"/>
  <c r="Y13" i="66"/>
  <c r="AI20" i="66"/>
  <c r="E19" i="62"/>
  <c r="F27" i="62"/>
  <c r="S75" i="19"/>
  <c r="E24" i="62"/>
  <c r="S47" i="19"/>
  <c r="F22" i="62"/>
  <c r="W144" i="19"/>
  <c r="V21" i="19"/>
  <c r="N173" i="19"/>
  <c r="Q173" i="19"/>
  <c r="E27" i="62"/>
  <c r="E23" i="62"/>
  <c r="E21" i="62"/>
  <c r="E18" i="62"/>
  <c r="E12" i="62"/>
  <c r="F25" i="62"/>
  <c r="F21" i="62"/>
  <c r="F15" i="62"/>
  <c r="U150" i="19"/>
  <c r="W147" i="19"/>
  <c r="U144" i="19"/>
  <c r="U75" i="19"/>
  <c r="W43" i="19"/>
  <c r="U21" i="19"/>
  <c r="W15" i="19"/>
  <c r="L173" i="19"/>
  <c r="E10" i="62"/>
  <c r="S84" i="19"/>
  <c r="S21" i="19"/>
  <c r="T150" i="19"/>
  <c r="T144" i="19"/>
  <c r="T87" i="19"/>
  <c r="T84" i="19"/>
  <c r="V150" i="19"/>
  <c r="V144" i="19"/>
  <c r="W141" i="19"/>
  <c r="V141" i="19"/>
  <c r="U141" i="19"/>
  <c r="V136" i="19"/>
  <c r="U136" i="19"/>
  <c r="V104" i="19"/>
  <c r="U104" i="19"/>
  <c r="U87" i="19"/>
  <c r="V84" i="19"/>
  <c r="U84" i="19"/>
  <c r="V75" i="19"/>
  <c r="W71" i="19"/>
  <c r="T15" i="19"/>
  <c r="J130" i="86"/>
  <c r="K166" i="86"/>
  <c r="K136" i="86"/>
  <c r="L162" i="86"/>
  <c r="L154" i="86"/>
  <c r="K100" i="86"/>
  <c r="K104" i="86"/>
  <c r="J100" i="86"/>
  <c r="K112" i="86"/>
  <c r="T71" i="19"/>
  <c r="J173" i="19"/>
  <c r="J150" i="86"/>
  <c r="L134" i="86"/>
  <c r="L144" i="86"/>
  <c r="J134" i="86"/>
  <c r="S100" i="19"/>
  <c r="J154" i="86"/>
  <c r="J152" i="86"/>
  <c r="L152" i="86"/>
  <c r="K148" i="86"/>
  <c r="L114" i="86"/>
  <c r="L90" i="86"/>
  <c r="L126" i="86"/>
  <c r="K96" i="86"/>
  <c r="L122" i="86"/>
  <c r="T129" i="19"/>
  <c r="T75" i="19"/>
  <c r="W150" i="19"/>
  <c r="U147" i="19"/>
  <c r="U129" i="19"/>
  <c r="W104" i="19"/>
  <c r="V87" i="19"/>
  <c r="U47" i="19"/>
  <c r="L136" i="86"/>
  <c r="L158" i="86"/>
  <c r="L124" i="86"/>
  <c r="L94" i="86"/>
  <c r="J156" i="86"/>
  <c r="K94" i="86"/>
  <c r="K84" i="86"/>
  <c r="J122" i="86"/>
  <c r="J16" i="86"/>
  <c r="J138" i="86"/>
  <c r="L168" i="86"/>
  <c r="L146" i="86"/>
  <c r="K142" i="86"/>
  <c r="J112" i="86"/>
  <c r="S150" i="19"/>
  <c r="S144" i="19"/>
  <c r="S87" i="19"/>
  <c r="S71" i="19"/>
  <c r="W172" i="19"/>
  <c r="W129" i="19"/>
  <c r="U100" i="19"/>
  <c r="W100" i="19"/>
  <c r="U71" i="19"/>
  <c r="W61" i="19"/>
  <c r="V43" i="19"/>
  <c r="V15" i="19"/>
  <c r="U15" i="19"/>
  <c r="T47" i="19"/>
  <c r="S147" i="19"/>
  <c r="S141" i="19"/>
  <c r="S129" i="19"/>
  <c r="S43" i="19"/>
  <c r="T172" i="19"/>
  <c r="T147" i="19"/>
  <c r="T136" i="19"/>
  <c r="T104" i="19"/>
  <c r="T100" i="19"/>
  <c r="T21" i="19"/>
  <c r="V172" i="19"/>
  <c r="V147" i="19"/>
  <c r="V129" i="19"/>
  <c r="W87" i="19"/>
  <c r="V71" i="19"/>
  <c r="I173" i="19"/>
  <c r="E29" i="62"/>
  <c r="E26" i="62"/>
  <c r="E17" i="62"/>
  <c r="E13" i="62"/>
  <c r="F29" i="62"/>
  <c r="F24" i="62"/>
  <c r="F23" i="62"/>
  <c r="V47" i="19"/>
  <c r="F10" i="62"/>
  <c r="F20" i="62"/>
  <c r="W47" i="19"/>
  <c r="S136" i="19"/>
  <c r="T61" i="19"/>
  <c r="T43" i="19"/>
  <c r="V100" i="19"/>
  <c r="V61" i="19"/>
  <c r="U61" i="19"/>
  <c r="F11" i="62"/>
  <c r="S172" i="19"/>
  <c r="S61" i="19"/>
  <c r="W136" i="19"/>
  <c r="W84" i="19"/>
  <c r="U43" i="19"/>
  <c r="R173" i="19"/>
  <c r="S15" i="19"/>
  <c r="E16" i="62"/>
  <c r="E15" i="62"/>
  <c r="E11" i="62"/>
  <c r="F26" i="62"/>
  <c r="F16" i="62"/>
  <c r="F13" i="62"/>
  <c r="F12" i="62"/>
  <c r="E14" i="62"/>
  <c r="W75" i="19"/>
  <c r="W21" i="19"/>
  <c r="E25" i="62"/>
  <c r="E22" i="62"/>
  <c r="K173" i="19"/>
  <c r="E20" i="62"/>
  <c r="F17" i="62"/>
  <c r="F14" i="62"/>
  <c r="O173" i="19"/>
  <c r="P173" i="19"/>
  <c r="S104" i="19"/>
  <c r="T141" i="19"/>
  <c r="L118" i="86"/>
  <c r="K86" i="86"/>
  <c r="J88" i="86"/>
  <c r="J162" i="86"/>
  <c r="L132" i="86"/>
  <c r="J110" i="86"/>
  <c r="L92" i="86"/>
  <c r="K156" i="86"/>
  <c r="J144" i="86"/>
  <c r="J164" i="86"/>
  <c r="L142" i="86"/>
  <c r="J116" i="86"/>
  <c r="J62" i="86"/>
  <c r="J68" i="86"/>
  <c r="L102" i="86"/>
  <c r="K88" i="86"/>
  <c r="J128" i="86"/>
  <c r="J166" i="86"/>
  <c r="L164" i="86"/>
  <c r="J158" i="86"/>
  <c r="K130" i="86"/>
  <c r="K110" i="86"/>
  <c r="L48" i="86"/>
  <c r="K78" i="86"/>
  <c r="L128" i="86"/>
  <c r="K160" i="86"/>
  <c r="L160" i="86"/>
  <c r="J126" i="86"/>
  <c r="J106" i="86"/>
  <c r="L18" i="86"/>
  <c r="J135" i="86"/>
  <c r="L74" i="86"/>
  <c r="L6" i="86"/>
  <c r="K66" i="86"/>
  <c r="K68" i="86"/>
  <c r="L24" i="86"/>
  <c r="L58" i="86"/>
  <c r="L82" i="86"/>
  <c r="L38" i="86"/>
  <c r="J22" i="86"/>
  <c r="K40" i="86"/>
  <c r="L52" i="86"/>
  <c r="K54" i="86"/>
  <c r="L70" i="86"/>
  <c r="K6" i="86"/>
  <c r="K56" i="86"/>
  <c r="K62" i="86"/>
  <c r="J78" i="86"/>
  <c r="K46" i="86"/>
  <c r="J72" i="86"/>
  <c r="K30" i="86"/>
  <c r="L147" i="86"/>
  <c r="K137" i="86"/>
  <c r="J145" i="86"/>
  <c r="K157" i="86"/>
  <c r="J141" i="86"/>
  <c r="L14" i="86"/>
  <c r="K12" i="86"/>
  <c r="L8" i="86"/>
  <c r="J60" i="86"/>
  <c r="K18" i="86"/>
  <c r="K14" i="86"/>
  <c r="J30" i="86"/>
  <c r="K102" i="86"/>
  <c r="J82" i="86"/>
  <c r="J148" i="86"/>
  <c r="J90" i="86"/>
  <c r="K16" i="86"/>
  <c r="K48" i="86"/>
  <c r="J120" i="86"/>
  <c r="L84" i="86"/>
  <c r="J140" i="86"/>
  <c r="L116" i="86"/>
  <c r="K42" i="86"/>
  <c r="K138" i="86"/>
  <c r="K124" i="86"/>
  <c r="K114" i="86"/>
  <c r="K106" i="86"/>
  <c r="K98" i="86"/>
  <c r="J92" i="86"/>
  <c r="J74" i="86"/>
  <c r="L72" i="86"/>
  <c r="K64" i="86"/>
  <c r="L50" i="86"/>
  <c r="J42" i="86"/>
  <c r="L26" i="86"/>
  <c r="K22" i="86"/>
  <c r="L2" i="86"/>
  <c r="J38" i="86"/>
  <c r="J46" i="86"/>
  <c r="L104" i="86"/>
  <c r="J54" i="86"/>
  <c r="K120" i="86"/>
  <c r="J28" i="86"/>
  <c r="J56" i="86"/>
  <c r="K146" i="86"/>
  <c r="J118" i="86"/>
  <c r="K108" i="86"/>
  <c r="L98" i="86"/>
  <c r="J86" i="86"/>
  <c r="L66" i="86"/>
  <c r="J58" i="86"/>
  <c r="J34" i="86"/>
  <c r="J24" i="86"/>
  <c r="K52" i="86"/>
  <c r="K20" i="86"/>
  <c r="L12" i="86"/>
  <c r="J26" i="86"/>
  <c r="J44" i="86"/>
  <c r="K36" i="86"/>
  <c r="K70" i="86"/>
  <c r="L44" i="86"/>
  <c r="K32" i="86"/>
  <c r="K50" i="86"/>
  <c r="L32" i="86"/>
  <c r="K80" i="86"/>
  <c r="K34" i="86"/>
  <c r="L96" i="86"/>
  <c r="K76" i="86"/>
  <c r="J64" i="86"/>
  <c r="J20" i="86"/>
  <c r="J10" i="86"/>
  <c r="K28" i="86"/>
  <c r="L150" i="86"/>
  <c r="J40" i="86"/>
  <c r="K168" i="86"/>
  <c r="J76" i="86"/>
  <c r="L108" i="86"/>
  <c r="K132" i="86"/>
  <c r="L4" i="86"/>
  <c r="K60" i="86"/>
  <c r="J80" i="86"/>
  <c r="K140" i="86"/>
  <c r="J36" i="86"/>
  <c r="K2" i="86"/>
  <c r="L145" i="86"/>
  <c r="J143" i="86"/>
  <c r="K165" i="86"/>
  <c r="K163" i="86"/>
  <c r="K8" i="86"/>
  <c r="J153" i="86"/>
  <c r="K77" i="86"/>
  <c r="L133" i="86"/>
  <c r="K129" i="86"/>
  <c r="J105" i="86"/>
  <c r="L109" i="86"/>
  <c r="L125" i="86"/>
  <c r="K117" i="86"/>
  <c r="J107" i="86"/>
  <c r="J95" i="86"/>
  <c r="L93" i="86"/>
  <c r="L67" i="86"/>
  <c r="K65" i="86"/>
  <c r="K89" i="86"/>
  <c r="L85" i="86"/>
  <c r="J67" i="86"/>
  <c r="J117" i="86"/>
  <c r="J113" i="86"/>
  <c r="K83" i="86"/>
  <c r="J63" i="86"/>
  <c r="L91" i="86"/>
  <c r="J4" i="86"/>
  <c r="K10" i="86"/>
  <c r="L17" i="86"/>
  <c r="J103" i="86"/>
  <c r="K91" i="86"/>
  <c r="L103" i="86"/>
  <c r="L49" i="86"/>
  <c r="L75" i="86"/>
  <c r="J79" i="86"/>
  <c r="K75" i="86"/>
  <c r="L79" i="86"/>
  <c r="J9" i="86"/>
  <c r="J11" i="86"/>
  <c r="J33" i="86"/>
  <c r="K15" i="86"/>
  <c r="J81" i="86"/>
  <c r="L27" i="86"/>
  <c r="K31" i="86"/>
  <c r="L59" i="86"/>
  <c r="K43" i="86"/>
  <c r="K95" i="86"/>
  <c r="L69" i="86"/>
  <c r="J69" i="86"/>
  <c r="J137" i="86"/>
  <c r="L97" i="86"/>
  <c r="L107" i="86"/>
  <c r="L139" i="86"/>
  <c r="K99" i="86"/>
  <c r="L43" i="86"/>
  <c r="L61" i="86"/>
  <c r="K113" i="86"/>
  <c r="L23" i="86"/>
  <c r="J151" i="86"/>
  <c r="K105" i="86"/>
  <c r="K111" i="86"/>
  <c r="J29" i="86"/>
  <c r="J41" i="86"/>
  <c r="J51" i="86"/>
  <c r="J167" i="86"/>
  <c r="K127" i="86"/>
  <c r="L131" i="86"/>
  <c r="J25" i="86"/>
  <c r="L83" i="86"/>
  <c r="K143" i="86"/>
  <c r="L159" i="86"/>
  <c r="L149" i="86"/>
  <c r="L161" i="86"/>
  <c r="L151" i="86"/>
  <c r="J127" i="86"/>
  <c r="J115" i="86"/>
  <c r="K101" i="86"/>
  <c r="J77" i="86"/>
  <c r="K57" i="86"/>
  <c r="J133" i="86"/>
  <c r="L87" i="86"/>
  <c r="K29" i="86"/>
  <c r="J93" i="86"/>
  <c r="L81" i="86"/>
  <c r="L11" i="86"/>
  <c r="K87" i="86"/>
  <c r="L3" i="86"/>
  <c r="L71" i="86"/>
  <c r="J57" i="86"/>
  <c r="K141" i="86"/>
  <c r="L45" i="86"/>
  <c r="J131" i="86"/>
  <c r="K55" i="86"/>
  <c r="K115" i="86"/>
  <c r="J99" i="86"/>
  <c r="J121" i="86"/>
  <c r="J119" i="86"/>
  <c r="J129" i="86"/>
  <c r="L101" i="86"/>
  <c r="K159" i="86"/>
  <c r="J163" i="86"/>
  <c r="L167" i="86"/>
  <c r="J155" i="86"/>
  <c r="K147" i="86"/>
  <c r="L157" i="86"/>
  <c r="J149" i="86"/>
  <c r="L135" i="86"/>
  <c r="J125" i="86"/>
  <c r="K109" i="86"/>
  <c r="K85" i="86"/>
  <c r="L55" i="86"/>
  <c r="L123" i="86"/>
  <c r="L89" i="86"/>
  <c r="L35" i="86"/>
  <c r="L65" i="86"/>
  <c r="K121" i="86"/>
  <c r="L111" i="86"/>
  <c r="K123" i="86"/>
  <c r="K97" i="86"/>
  <c r="K119" i="86"/>
  <c r="K161" i="86"/>
  <c r="L155" i="86"/>
  <c r="J165" i="86"/>
  <c r="J71" i="86"/>
  <c r="K27" i="86"/>
  <c r="K33" i="86"/>
  <c r="J45" i="86"/>
  <c r="J15" i="86"/>
  <c r="K23" i="86"/>
  <c r="K5" i="86"/>
  <c r="K61" i="86"/>
  <c r="K63" i="86"/>
  <c r="K49" i="86"/>
  <c r="L73" i="86"/>
  <c r="K51" i="86"/>
  <c r="K41" i="86"/>
  <c r="L19" i="86"/>
  <c r="L5" i="86"/>
  <c r="J53" i="86"/>
  <c r="K59" i="86"/>
  <c r="L47" i="86"/>
  <c r="K73" i="86"/>
  <c r="K53" i="86"/>
  <c r="L39" i="86"/>
  <c r="K35" i="86"/>
  <c r="L25" i="86"/>
  <c r="J19" i="86"/>
  <c r="J21" i="86"/>
  <c r="K37" i="86"/>
  <c r="J37" i="86"/>
  <c r="J39" i="86"/>
  <c r="J47" i="86"/>
  <c r="K7" i="86"/>
  <c r="K13" i="86"/>
  <c r="J3" i="86"/>
  <c r="L13" i="86"/>
  <c r="K17" i="86"/>
  <c r="J31" i="86"/>
  <c r="L9" i="86"/>
  <c r="K21" i="86"/>
  <c r="J7" i="86"/>
  <c r="C30" i="62"/>
  <c r="D30" i="62"/>
  <c r="AC11" i="43"/>
  <c r="AD11" i="43"/>
  <c r="AE11" i="43" s="1"/>
  <c r="AD14" i="43"/>
  <c r="AE14" i="43" s="1"/>
  <c r="AC14" i="43"/>
  <c r="AD18" i="43"/>
  <c r="AE18" i="43" s="1"/>
  <c r="AC18" i="43"/>
  <c r="AC17" i="43"/>
  <c r="AD17" i="43"/>
  <c r="AE17" i="43" s="1"/>
  <c r="AD15" i="43"/>
  <c r="AE15" i="43" s="1"/>
  <c r="AC15" i="43"/>
  <c r="AD19" i="43"/>
  <c r="AE19" i="43" s="1"/>
  <c r="AC19" i="43"/>
  <c r="AD13" i="43"/>
  <c r="AE13" i="43" s="1"/>
  <c r="AC13" i="43"/>
  <c r="AC10" i="43"/>
  <c r="AD10" i="43"/>
  <c r="AE10" i="43" s="1"/>
  <c r="AD16" i="43"/>
  <c r="AE16" i="43" s="1"/>
  <c r="AC16" i="43"/>
  <c r="AC12" i="43"/>
  <c r="AD12" i="43"/>
  <c r="AE12" i="43" s="1"/>
  <c r="E30" i="62" l="1"/>
  <c r="V173" i="19"/>
  <c r="U173" i="19"/>
  <c r="S173" i="19"/>
  <c r="G12" i="62"/>
  <c r="G19" i="62"/>
  <c r="C41" i="94"/>
  <c r="G49" i="94"/>
  <c r="E41" i="94"/>
  <c r="B51" i="92"/>
  <c r="D41" i="94"/>
  <c r="H19" i="62"/>
  <c r="CF24" i="62" s="1"/>
  <c r="G24" i="62"/>
  <c r="Y26" i="66"/>
  <c r="AD26" i="66" s="1"/>
  <c r="H49" i="94"/>
  <c r="I47" i="94" s="1"/>
  <c r="G18" i="62"/>
  <c r="H27" i="62"/>
  <c r="CG32" i="62" s="1"/>
  <c r="CE32" i="62" s="1"/>
  <c r="G26" i="62"/>
  <c r="H18" i="62"/>
  <c r="CF23" i="62" s="1"/>
  <c r="G29" i="62"/>
  <c r="G21" i="62"/>
  <c r="H21" i="62"/>
  <c r="CF26" i="62" s="1"/>
  <c r="H23" i="62"/>
  <c r="CF30" i="62" s="1"/>
  <c r="H29" i="62"/>
  <c r="G27" i="62"/>
  <c r="H24" i="62"/>
  <c r="CG29" i="62" s="1"/>
  <c r="CE29" i="62" s="1"/>
  <c r="G10" i="62"/>
  <c r="H10" i="62"/>
  <c r="CG17" i="62" s="1"/>
  <c r="CE17" i="62" s="1"/>
  <c r="W173" i="19"/>
  <c r="H13" i="62"/>
  <c r="H26" i="62"/>
  <c r="CG31" i="62" s="1"/>
  <c r="CE31" i="62" s="1"/>
  <c r="H12" i="62"/>
  <c r="CG19" i="62" s="1"/>
  <c r="CE19" i="62" s="1"/>
  <c r="F30" i="62"/>
  <c r="H6" i="62" s="1"/>
  <c r="G23" i="62"/>
  <c r="G17" i="62"/>
  <c r="T173" i="19"/>
  <c r="H15" i="62"/>
  <c r="CF20" i="62" s="1"/>
  <c r="G15" i="62"/>
  <c r="G13" i="62"/>
  <c r="H22" i="62"/>
  <c r="CG27" i="62" s="1"/>
  <c r="CE27" i="62" s="1"/>
  <c r="G22" i="62"/>
  <c r="H16" i="62"/>
  <c r="CF21" i="62" s="1"/>
  <c r="G16" i="62"/>
  <c r="H25" i="62"/>
  <c r="G25" i="62"/>
  <c r="G14" i="62"/>
  <c r="H14" i="62"/>
  <c r="H17" i="62"/>
  <c r="CF22" i="62" s="1"/>
  <c r="G20" i="62"/>
  <c r="H20" i="62"/>
  <c r="CF25" i="62" s="1"/>
  <c r="G11" i="62"/>
  <c r="H11" i="62"/>
  <c r="CG18" i="62" s="1"/>
  <c r="CE18" i="62" s="1"/>
  <c r="CG24" i="62" l="1"/>
  <c r="CE24" i="62" s="1"/>
  <c r="CG23" i="62"/>
  <c r="CE23" i="62" s="1"/>
  <c r="AA26" i="66"/>
  <c r="AC26" i="66"/>
  <c r="AB26" i="66"/>
  <c r="I49" i="94"/>
  <c r="I50" i="94"/>
  <c r="I45" i="94"/>
  <c r="I46" i="94"/>
  <c r="I48" i="94"/>
  <c r="CG26" i="62"/>
  <c r="CE26" i="62" s="1"/>
  <c r="CG30" i="62"/>
  <c r="CE30" i="62" s="1"/>
  <c r="CG28" i="62"/>
  <c r="CE28" i="62" s="1"/>
  <c r="CG21" i="62"/>
  <c r="CG20" i="62"/>
  <c r="CE20" i="62" s="1"/>
  <c r="H30" i="62"/>
  <c r="G30" i="62"/>
  <c r="H7" i="62" s="1"/>
  <c r="CE21" i="62"/>
  <c r="CG25" i="62"/>
  <c r="CE25" i="62" s="1"/>
  <c r="CG22" i="62"/>
  <c r="CE22" i="62" s="1"/>
</calcChain>
</file>

<file path=xl/comments1.xml><?xml version="1.0" encoding="utf-8"?>
<comments xmlns="http://schemas.openxmlformats.org/spreadsheetml/2006/main">
  <authors>
    <author>Soe Moe Kyi</author>
  </authors>
  <commentList>
    <comment ref="M69" authorId="0" shapeId="0">
      <text>
        <r>
          <rPr>
            <b/>
            <sz val="9"/>
            <color indexed="81"/>
            <rFont val="Tahoma"/>
            <family val="2"/>
          </rPr>
          <t>Soe Moe Kyi:</t>
        </r>
        <r>
          <rPr>
            <sz val="9"/>
            <color indexed="81"/>
            <rFont val="Tahoma"/>
            <family val="2"/>
          </rPr>
          <t xml:space="preserve">
KMSSB 36 units (Irish) completed in March18
KBC    231 units</t>
        </r>
      </text>
    </comment>
    <comment ref="H171" authorId="0" shapeId="0">
      <text>
        <r>
          <rPr>
            <b/>
            <sz val="9"/>
            <color indexed="81"/>
            <rFont val="Tahoma"/>
            <family val="2"/>
          </rPr>
          <t>Soe Moe Kyi:</t>
        </r>
        <r>
          <rPr>
            <sz val="9"/>
            <color indexed="81"/>
            <rFont val="Tahoma"/>
            <family val="2"/>
          </rPr>
          <t xml:space="preserve">
700 HH host family living in host couldn’t afford the room rental any more.</t>
        </r>
      </text>
    </comment>
  </commentList>
</comments>
</file>

<file path=xl/sharedStrings.xml><?xml version="1.0" encoding="utf-8"?>
<sst xmlns="http://schemas.openxmlformats.org/spreadsheetml/2006/main" count="14719" uniqueCount="1881">
  <si>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</si>
  <si>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</si>
  <si>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</si>
  <si>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</si>
  <si>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</si>
  <si>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</si>
  <si>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</si>
  <si>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</si>
  <si>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</si>
  <si>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</si>
  <si>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</si>
  <si>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</si>
  <si>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</si>
  <si>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</si>
  <si>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</si>
  <si>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</si>
  <si>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</si>
  <si>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</si>
  <si>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</si>
  <si>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</si>
  <si>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</si>
  <si>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</si>
  <si>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</si>
  <si>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</si>
  <si>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</si>
  <si>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</si>
  <si>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</si>
  <si>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</si>
  <si>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</si>
  <si>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</si>
  <si>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</si>
  <si>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</si>
  <si>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</si>
  <si>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</si>
  <si>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</si>
  <si>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</si>
  <si>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</si>
  <si>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</si>
  <si>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</si>
  <si>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</si>
  <si>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</si>
  <si>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</si>
  <si>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</si>
  <si>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</si>
  <si>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</si>
  <si>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</si>
  <si>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</si>
  <si>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</si>
  <si>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</si>
  <si>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</si>
  <si>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</si>
  <si>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</si>
  <si>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</si>
  <si>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</si>
  <si>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</si>
  <si>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</si>
  <si>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</si>
  <si>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</si>
  <si>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</si>
  <si>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</si>
  <si>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</si>
  <si>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</si>
  <si>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</si>
  <si>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</si>
  <si>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</si>
  <si>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</si>
  <si>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</si>
  <si>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</si>
  <si>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</si>
  <si>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</si>
  <si>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</si>
  <si>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</si>
  <si>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</si>
  <si>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</si>
  <si>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</si>
  <si>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</si>
  <si>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</si>
  <si>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</si>
  <si>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</si>
  <si>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</si>
  <si>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</si>
  <si>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</si>
  <si>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</si>
  <si>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</si>
  <si>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</si>
  <si>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</si>
  <si>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</si>
  <si>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</si>
  <si>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</si>
  <si>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</si>
  <si>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</si>
  <si>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</si>
  <si>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</si>
  <si>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</si>
  <si>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</si>
  <si>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</si>
  <si>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</si>
  <si>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</si>
  <si>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</si>
  <si>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</si>
  <si>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</si>
  <si>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</si>
  <si>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</si>
  <si>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</si>
  <si>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</si>
  <si>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</si>
  <si>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</si>
  <si>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</si>
  <si>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</si>
  <si>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</si>
  <si>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</si>
  <si>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</si>
  <si>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</si>
  <si>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</si>
  <si>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</si>
  <si>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</si>
  <si>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</si>
  <si>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</si>
  <si>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</si>
  <si>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</si>
  <si>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</si>
  <si>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</si>
  <si>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</si>
  <si>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</si>
  <si>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</si>
  <si>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</si>
  <si>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</si>
  <si>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</si>
  <si>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</si>
  <si>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</si>
  <si>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</si>
  <si>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</si>
  <si>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</si>
  <si>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</si>
  <si>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</si>
  <si>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</si>
  <si>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</si>
  <si>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</si>
  <si>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</si>
  <si>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</si>
  <si>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</si>
  <si>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</si>
  <si>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</si>
  <si>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</si>
  <si>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</si>
  <si>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</si>
  <si>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</si>
  <si>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</si>
  <si>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</si>
  <si>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</si>
  <si>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</si>
  <si>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</si>
  <si>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</si>
  <si>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</si>
  <si>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</si>
  <si>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</si>
  <si>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</si>
  <si>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</si>
  <si>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</si>
  <si>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</si>
  <si>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</si>
  <si>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</si>
  <si>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</si>
  <si>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</si>
  <si>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</si>
  <si>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</si>
  <si>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</si>
  <si>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</si>
  <si>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</si>
  <si>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</si>
  <si>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</si>
  <si>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</si>
  <si>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</si>
  <si>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</si>
  <si>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</si>
  <si>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</si>
  <si>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</si>
  <si>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</si>
  <si>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</si>
  <si>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</si>
  <si>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</si>
  <si>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</si>
  <si>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</si>
  <si>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</si>
  <si>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</si>
  <si>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</si>
  <si>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</si>
  <si>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</si>
  <si>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</si>
  <si>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</si>
  <si>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</si>
  <si>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</si>
  <si>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</si>
  <si>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</si>
  <si>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</si>
  <si>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</si>
  <si>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</si>
  <si>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</si>
  <si>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</si>
  <si>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</si>
  <si>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</si>
  <si>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</si>
  <si>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</si>
  <si>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</si>
  <si>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</si>
  <si>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</si>
  <si>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</si>
  <si>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</si>
  <si>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</si>
  <si>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</si>
  <si>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</si>
  <si>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</si>
  <si>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</si>
  <si>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</si>
  <si>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</si>
  <si>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</si>
  <si>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</si>
  <si>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</si>
  <si>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</si>
  <si>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</si>
  <si>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</si>
  <si>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</si>
  <si>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</si>
  <si>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</si>
  <si>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</si>
  <si>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</si>
  <si>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</si>
  <si>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</si>
  <si>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</si>
  <si>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</si>
  <si>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</si>
  <si>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</si>
  <si>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</si>
  <si>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</si>
  <si>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</si>
  <si>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</si>
  <si>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</si>
  <si>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</si>
  <si>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</si>
  <si>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</si>
  <si>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</si>
  <si>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</si>
  <si>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</si>
  <si>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</si>
  <si>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</si>
  <si>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</si>
  <si>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</si>
  <si>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</si>
  <si>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</si>
  <si>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</si>
  <si>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</si>
  <si>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</si>
  <si>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</si>
  <si>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</si>
  <si>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</si>
  <si>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</si>
  <si>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</si>
  <si>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</si>
  <si>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</si>
  <si>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</si>
  <si>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</si>
  <si>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</si>
  <si>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</si>
  <si>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</si>
  <si>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</si>
  <si>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</si>
  <si>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</si>
  <si>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</si>
  <si>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</si>
  <si>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</si>
  <si>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</si>
  <si>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</si>
  <si>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</si>
  <si>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</si>
  <si>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</si>
  <si>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</si>
  <si>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</si>
  <si>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</si>
  <si>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</si>
  <si>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</si>
  <si>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</si>
  <si>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</si>
  <si>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</si>
  <si>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</si>
  <si>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</si>
  <si>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</si>
  <si>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</si>
  <si>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</si>
  <si>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</si>
  <si>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</si>
  <si>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</si>
  <si>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</si>
  <si>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</si>
  <si>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</si>
  <si>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</si>
  <si>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</si>
  <si>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</si>
  <si>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</si>
  <si>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</si>
  <si>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</si>
  <si>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</si>
  <si>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</si>
  <si>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</si>
  <si>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</si>
  <si>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</si>
  <si>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</si>
  <si>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</si>
  <si>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</si>
  <si>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</si>
  <si>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</si>
  <si>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</si>
  <si>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</si>
  <si>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</si>
  <si>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</si>
  <si>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</si>
  <si>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</si>
  <si>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</si>
  <si>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</si>
  <si>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</si>
  <si>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</si>
  <si>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</si>
  <si>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</si>
  <si>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</si>
  <si>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</si>
  <si>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</si>
  <si>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</si>
  <si>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</si>
  <si>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</si>
  <si>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</si>
  <si>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</si>
  <si>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</si>
  <si>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</si>
  <si>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</si>
  <si>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</si>
  <si>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</si>
  <si>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</si>
  <si>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</si>
  <si>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</si>
  <si>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</si>
  <si>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</si>
  <si>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</si>
  <si>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</si>
  <si>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</si>
  <si>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</si>
  <si>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</si>
  <si>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</si>
  <si>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</si>
  <si>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</si>
  <si>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</si>
  <si>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</si>
  <si>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</si>
  <si>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</si>
  <si>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</si>
  <si>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</si>
  <si>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</si>
  <si>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</si>
  <si>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</si>
  <si>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</si>
  <si>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</si>
  <si>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</si>
  <si>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</si>
  <si>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</si>
  <si>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</si>
  <si>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</si>
  <si>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</si>
  <si>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</si>
  <si>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</si>
  <si>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</si>
  <si>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</si>
  <si>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</si>
  <si>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</si>
  <si>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</si>
  <si>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</si>
  <si>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</si>
  <si>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</si>
  <si>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</si>
  <si>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</si>
  <si>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</si>
  <si>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</si>
  <si>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</si>
  <si>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</si>
  <si>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</si>
  <si>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</si>
  <si>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</si>
  <si>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</si>
  <si>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</si>
  <si>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</si>
  <si>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</si>
  <si>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</si>
  <si>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</si>
  <si>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</si>
  <si>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</si>
  <si>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</si>
  <si>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</si>
  <si>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</si>
  <si>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</si>
  <si>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</si>
  <si>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</si>
  <si>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</si>
  <si>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</si>
  <si>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</si>
  <si>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</si>
  <si>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</si>
  <si>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</si>
  <si>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</si>
  <si>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</si>
  <si>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</si>
  <si>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</si>
  <si>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</si>
  <si>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</si>
  <si>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</si>
  <si>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</si>
  <si>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</si>
  <si>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</si>
  <si>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</si>
  <si>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</si>
  <si>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</si>
  <si>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</si>
  <si>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</si>
  <si>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</si>
  <si>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</si>
  <si>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</si>
  <si>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</si>
  <si>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</si>
  <si>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</si>
  <si>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</si>
  <si>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</si>
  <si>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</si>
  <si>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</si>
  <si>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</si>
  <si>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</si>
  <si>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</si>
  <si>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</si>
  <si>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</si>
  <si>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</si>
  <si>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</si>
  <si>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</si>
  <si>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</si>
  <si>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</si>
  <si>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</si>
  <si>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</si>
  <si>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</si>
  <si>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</si>
  <si>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</si>
  <si>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</si>
  <si>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</si>
  <si>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</si>
  <si>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</si>
  <si>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</si>
  <si>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</si>
  <si>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</si>
  <si>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</si>
  <si>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</si>
  <si>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</si>
  <si>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</si>
  <si>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</si>
  <si>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</si>
  <si>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</si>
  <si>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</si>
  <si>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</si>
  <si>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</si>
  <si>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</si>
  <si>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</si>
  <si>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</si>
  <si>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</si>
  <si>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</si>
  <si>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</si>
  <si>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</si>
  <si>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</si>
  <si>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</si>
  <si>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</si>
  <si>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</si>
  <si>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</si>
  <si>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</si>
  <si>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</si>
  <si>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</si>
  <si>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</si>
  <si>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</si>
  <si>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</si>
  <si>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</si>
  <si>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</si>
  <si>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</si>
  <si>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</si>
  <si>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</si>
  <si>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</si>
  <si>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</si>
  <si>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</si>
  <si>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</si>
  <si>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</si>
  <si>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</si>
  <si>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</si>
  <si>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</si>
  <si>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</si>
  <si>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</si>
  <si>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</si>
  <si>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</si>
  <si>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</si>
  <si>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</si>
  <si>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</si>
  <si>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</si>
  <si>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</si>
  <si>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</si>
  <si>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</si>
  <si>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</si>
  <si>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</si>
  <si>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</si>
  <si>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</si>
  <si>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</si>
  <si>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</si>
  <si>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</si>
  <si>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</si>
  <si>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</si>
  <si>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</si>
  <si>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</si>
  <si>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</si>
  <si>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</si>
  <si>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</si>
  <si>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</si>
  <si>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</si>
  <si>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</si>
  <si>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</si>
  <si>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</si>
  <si>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</si>
  <si>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</si>
  <si>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</si>
  <si>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</si>
  <si>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</si>
  <si>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</si>
  <si>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</si>
  <si>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</si>
  <si>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</si>
  <si>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</si>
  <si>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</si>
  <si>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</si>
  <si>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</si>
  <si>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</si>
  <si>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</si>
  <si>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</si>
  <si>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</si>
  <si>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</si>
  <si>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</si>
  <si>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</si>
  <si>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</si>
  <si>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</si>
  <si>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</si>
  <si>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</si>
  <si>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</si>
  <si>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</si>
  <si>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</si>
  <si>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</si>
  <si>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</si>
  <si>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</si>
  <si>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</si>
  <si>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</si>
  <si>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</si>
  <si>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</si>
  <si>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</si>
  <si>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</si>
  <si>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</si>
  <si>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</si>
  <si>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</si>
  <si>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</si>
  <si>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</si>
  <si>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</si>
  <si>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</si>
  <si>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</si>
  <si>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</si>
  <si>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</si>
  <si>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</si>
  <si>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</si>
  <si>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</si>
  <si>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</si>
  <si>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</si>
  <si>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</si>
  <si>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</si>
  <si>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</si>
  <si>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</si>
  <si>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</si>
  <si>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</si>
  <si>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</si>
  <si>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</si>
  <si>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</si>
  <si>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</si>
  <si>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</si>
  <si>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</si>
  <si>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</si>
  <si>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</si>
  <si>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</si>
  <si>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</si>
  <si>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</si>
  <si>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</si>
  <si>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</si>
  <si>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</si>
  <si>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</si>
  <si>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</si>
  <si>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</si>
  <si>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</si>
  <si>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</si>
  <si>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</si>
  <si>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</si>
  <si>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</si>
  <si>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</si>
  <si>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</si>
  <si>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</si>
  <si>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</si>
  <si>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</si>
  <si>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</si>
  <si>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</si>
  <si>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</si>
  <si>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</si>
  <si>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</si>
  <si>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</si>
  <si>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</si>
  <si>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</si>
  <si>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</si>
  <si>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</si>
  <si>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</si>
  <si>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</si>
  <si>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</si>
  <si>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</si>
  <si>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</si>
  <si>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</si>
  <si>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</si>
  <si>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</si>
  <si>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</si>
  <si>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</si>
  <si>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</si>
  <si>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</si>
  <si>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</si>
  <si>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</si>
  <si>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</si>
  <si>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</si>
  <si>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</si>
  <si>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</si>
  <si>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</si>
  <si>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</si>
  <si>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</si>
  <si>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</si>
  <si>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</si>
  <si>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</si>
  <si>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</si>
  <si>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</si>
  <si>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</si>
  <si>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</si>
  <si>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</si>
  <si>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</si>
  <si>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</si>
  <si>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</si>
  <si>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</si>
  <si>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</si>
  <si>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</si>
  <si>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</si>
  <si>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</si>
  <si>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</si>
  <si>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</si>
  <si>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</si>
  <si>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</si>
  <si>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</si>
  <si>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</si>
  <si>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</si>
  <si>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</si>
  <si>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</si>
  <si>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</si>
  <si>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</si>
  <si>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</si>
  <si>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</si>
  <si>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</si>
  <si>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</si>
  <si>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</si>
  <si>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</si>
  <si>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</si>
  <si>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</si>
  <si>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</si>
  <si>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</si>
  <si>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</si>
  <si>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</si>
  <si>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</si>
  <si>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</si>
  <si>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</si>
  <si>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</si>
  <si>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</si>
  <si>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</si>
  <si>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</si>
  <si>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</si>
  <si>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</si>
  <si>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</si>
  <si>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</si>
  <si>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</si>
  <si>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</si>
  <si>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</si>
  <si>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</si>
  <si>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</si>
  <si>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</si>
  <si>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</si>
  <si>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</si>
  <si>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</si>
  <si>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</si>
  <si>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</si>
  <si>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</si>
  <si>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</si>
  <si>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</si>
  <si>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</si>
  <si>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</si>
  <si>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</si>
  <si>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</si>
  <si>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</si>
  <si>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</si>
  <si>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</si>
  <si>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</si>
  <si>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</si>
  <si>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</si>
  <si>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</si>
  <si>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</si>
  <si>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</si>
  <si>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</si>
  <si>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</si>
  <si>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</si>
  <si>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</si>
  <si>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</si>
  <si>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</si>
  <si>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</si>
  <si>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</si>
  <si>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</si>
  <si>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</si>
  <si>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</si>
  <si>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</si>
  <si>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</si>
  <si>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</si>
  <si>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</si>
  <si>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</si>
  <si>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</si>
  <si>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</si>
  <si>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</si>
  <si>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</si>
  <si>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</si>
  <si>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</si>
  <si>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</si>
  <si>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</si>
  <si>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</si>
  <si>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</si>
  <si>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</si>
  <si>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</si>
  <si>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</si>
  <si>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</si>
  <si>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</si>
  <si>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</si>
  <si>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</si>
  <si>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</si>
  <si>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</si>
  <si>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</si>
  <si>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</si>
  <si>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</si>
  <si>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</si>
  <si>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</si>
  <si>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</si>
  <si>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</si>
  <si>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</si>
  <si>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</si>
  <si>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</si>
  <si>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</si>
  <si>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</si>
  <si>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</si>
  <si>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</si>
  <si>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</si>
  <si>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</si>
  <si>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</si>
  <si>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</si>
  <si>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</si>
  <si>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</si>
  <si>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</si>
  <si>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</si>
  <si>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</si>
  <si>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</si>
  <si>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</si>
  <si>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</si>
  <si>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</si>
  <si>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</si>
  <si>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</si>
  <si>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</si>
  <si>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</si>
  <si>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</si>
  <si>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</si>
  <si>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</si>
  <si>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</si>
  <si>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</si>
  <si>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</si>
  <si>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</si>
  <si>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</si>
  <si>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</si>
  <si>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</si>
  <si>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</si>
  <si>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</si>
  <si>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</si>
  <si>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</si>
  <si>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</si>
  <si>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</si>
  <si>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</si>
  <si>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</si>
  <si>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</si>
  <si>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</si>
  <si>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</si>
  <si>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</si>
  <si>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</si>
  <si>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</si>
  <si>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</si>
  <si>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</si>
  <si>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</si>
  <si>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</si>
  <si>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</si>
  <si>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</si>
  <si>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</si>
  <si>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</si>
  <si>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</si>
  <si>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</si>
  <si>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</si>
  <si>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</si>
  <si>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</si>
  <si>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</si>
  <si>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</si>
  <si>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</si>
  <si>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</si>
  <si>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</si>
  <si>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</si>
  <si>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</si>
  <si>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</si>
  <si>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</si>
  <si>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</si>
  <si>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</si>
  <si>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</si>
  <si>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</si>
  <si>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</si>
  <si>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</si>
  <si>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</si>
  <si>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</si>
  <si>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</si>
  <si>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</si>
  <si>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</si>
  <si>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</si>
  <si>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</si>
  <si>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</si>
  <si>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</si>
  <si>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</si>
  <si>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</si>
  <si>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</si>
  <si>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</si>
  <si>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</si>
  <si>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</si>
  <si>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</si>
  <si>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</si>
  <si>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</si>
  <si>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</si>
  <si>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</si>
  <si>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</si>
  <si>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</si>
  <si>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</si>
  <si>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</si>
  <si>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</si>
  <si>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</si>
  <si>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</si>
  <si>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</si>
  <si>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</si>
  <si>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</si>
  <si>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</si>
  <si>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</si>
  <si>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</si>
  <si>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</si>
  <si>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</si>
  <si>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</si>
  <si>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</si>
  <si>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</si>
  <si>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</si>
  <si>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</si>
  <si>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</si>
  <si>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</si>
  <si>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</si>
  <si>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</si>
  <si>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</si>
  <si>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</si>
  <si>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</si>
  <si>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</si>
  <si>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</si>
  <si>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</si>
  <si>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</si>
  <si>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</si>
  <si>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</si>
  <si>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</si>
  <si>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</si>
  <si>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</si>
  <si>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</si>
  <si>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</si>
  <si>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</si>
  <si>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</si>
  <si>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</si>
  <si>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</si>
  <si>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</si>
  <si>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</si>
  <si>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</si>
  <si>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</si>
  <si>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</si>
  <si>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</si>
  <si>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</si>
  <si>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</si>
  <si>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</si>
  <si>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</si>
  <si>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</si>
  <si>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</si>
  <si>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</si>
  <si>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</si>
  <si>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</si>
  <si>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</si>
  <si>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</si>
  <si>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</si>
  <si>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</si>
  <si>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</si>
  <si>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</si>
  <si>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</si>
  <si>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</si>
  <si>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</si>
  <si>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</si>
  <si>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</si>
  <si>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</si>
  <si>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</si>
  <si>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</si>
  <si>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</si>
  <si>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</si>
  <si>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</si>
  <si>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</si>
  <si>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</si>
  <si>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</si>
  <si>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</si>
  <si>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</si>
  <si>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</si>
  <si>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</si>
  <si>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</si>
  <si>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</si>
  <si>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</si>
  <si>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</si>
  <si>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</si>
  <si>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</si>
  <si>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</si>
  <si>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</si>
  <si>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</si>
  <si>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</si>
  <si>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</si>
  <si>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</si>
  <si>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</si>
  <si>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</si>
  <si>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</si>
  <si>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</si>
  <si>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</si>
  <si>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</si>
  <si>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</si>
  <si>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</si>
  <si>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</si>
  <si>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</si>
  <si>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</si>
  <si>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</si>
  <si>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</si>
  <si>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</si>
  <si>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</si>
  <si>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</si>
  <si>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</si>
  <si>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</si>
  <si>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</si>
  <si>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</si>
  <si>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</si>
  <si>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</si>
  <si>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</si>
  <si>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</si>
  <si>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</si>
  <si>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</si>
  <si>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</si>
  <si>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</si>
  <si>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</si>
  <si>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</si>
  <si>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</si>
  <si>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</si>
  <si>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</si>
  <si>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</si>
  <si>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</si>
  <si>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</si>
  <si>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</si>
  <si>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</si>
  <si>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</si>
  <si>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</si>
  <si>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</si>
  <si>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</si>
  <si>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</si>
  <si>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</si>
  <si>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</si>
  <si>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</si>
  <si>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</si>
  <si>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</si>
  <si>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</si>
  <si>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</si>
  <si>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</si>
  <si>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</si>
  <si>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</si>
  <si>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</si>
  <si>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</si>
  <si>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</si>
  <si>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</si>
  <si>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</si>
  <si>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</si>
  <si>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</si>
  <si>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</si>
  <si>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</si>
  <si>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</si>
  <si>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</si>
  <si>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</si>
  <si>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</si>
  <si>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</si>
  <si>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</si>
  <si>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</si>
  <si>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</si>
  <si>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</si>
  <si>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</si>
  <si>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</si>
  <si>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</si>
  <si>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</si>
  <si>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</si>
  <si>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</si>
  <si>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</si>
  <si>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</si>
  <si>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</si>
  <si>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</si>
  <si>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</si>
  <si>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</si>
  <si>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</si>
  <si>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</si>
  <si>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</si>
  <si>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</si>
  <si>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</si>
  <si>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</si>
  <si>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</si>
  <si>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</si>
  <si>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</si>
  <si>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</si>
  <si>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</si>
  <si>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</si>
  <si>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</si>
  <si>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</si>
  <si>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</si>
  <si>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</si>
  <si>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</si>
  <si>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</si>
  <si>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</si>
  <si>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</si>
  <si>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</si>
  <si>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</si>
  <si>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</si>
  <si>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</si>
  <si>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</si>
  <si>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</si>
  <si>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</si>
  <si>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</si>
  <si>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</si>
  <si>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</si>
  <si>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</si>
  <si>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</si>
  <si>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</si>
  <si>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</si>
  <si>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</si>
  <si>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</si>
  <si>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</si>
  <si>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</si>
  <si>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</si>
  <si>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</si>
  <si>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</si>
  <si>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</si>
  <si>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</si>
  <si>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</si>
  <si>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</si>
  <si>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</si>
  <si>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</si>
  <si>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</si>
  <si>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</si>
  <si>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</si>
  <si>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</si>
  <si>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</si>
  <si>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</si>
  <si>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</si>
  <si>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</si>
  <si>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</si>
  <si>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</si>
  <si>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</si>
  <si>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</si>
  <si>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</si>
  <si>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</si>
  <si>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</si>
  <si>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</si>
  <si>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</si>
  <si>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</si>
  <si>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</si>
  <si>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</si>
  <si>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</si>
  <si>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</si>
  <si>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</si>
  <si>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</si>
  <si>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</si>
  <si>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</si>
  <si>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</si>
  <si>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</si>
  <si>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</si>
  <si>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</si>
  <si>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</si>
  <si>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</si>
  <si>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</si>
  <si>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</si>
  <si>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</si>
  <si>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</si>
  <si>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</si>
  <si>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</si>
  <si>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</si>
  <si>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</si>
  <si>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</si>
  <si>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</si>
  <si>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</si>
  <si>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</si>
  <si>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</si>
  <si>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</si>
  <si>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</si>
  <si>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</si>
  <si>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</si>
  <si>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</si>
  <si>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</si>
  <si>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</si>
  <si>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</si>
  <si>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</si>
  <si>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</si>
  <si>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</si>
  <si>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</si>
  <si>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</si>
  <si>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</si>
  <si>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</si>
  <si>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</si>
  <si>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</si>
  <si>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</si>
  <si>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</si>
  <si>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</si>
  <si>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</si>
  <si>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</si>
  <si>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</si>
  <si>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</si>
  <si>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</si>
  <si>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</si>
  <si>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</si>
  <si>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</si>
  <si>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</si>
  <si>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</si>
  <si>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</si>
  <si>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</si>
  <si>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</si>
  <si>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</si>
  <si>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</si>
  <si>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</si>
  <si>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</si>
  <si>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</si>
  <si>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</si>
  <si>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</si>
  <si>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</si>
  <si>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</si>
  <si>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</si>
  <si>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</si>
  <si>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</si>
  <si>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</si>
  <si>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</si>
  <si>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</si>
  <si>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</si>
  <si>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</si>
  <si>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</si>
  <si>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</si>
  <si>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</si>
  <si>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</si>
  <si>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</si>
  <si>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</si>
  <si>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</si>
  <si>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</si>
  <si>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</si>
  <si>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</si>
  <si>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</si>
  <si>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</si>
  <si>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</si>
  <si>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</si>
  <si>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</si>
  <si>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</si>
  <si>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</si>
  <si>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</si>
  <si>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</si>
  <si>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</si>
  <si>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</si>
  <si>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</si>
  <si>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</si>
  <si>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</si>
  <si>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</si>
  <si>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</si>
  <si>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</si>
  <si>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</si>
  <si>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</si>
  <si>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</si>
  <si>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</si>
  <si>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</si>
  <si>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</si>
  <si>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</si>
  <si>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</si>
  <si>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</si>
  <si>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</si>
  <si>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</si>
  <si>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</si>
  <si>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</si>
  <si>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</si>
  <si>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</si>
  <si>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</si>
  <si>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</si>
  <si>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</si>
  <si>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</si>
  <si>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</si>
  <si>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</si>
  <si>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</si>
  <si>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</si>
  <si>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</si>
  <si>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</si>
  <si>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</si>
  <si>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</si>
  <si>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</si>
  <si>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</si>
  <si>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</si>
  <si>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</si>
  <si>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</si>
  <si>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</si>
  <si>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</si>
  <si>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</si>
  <si>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</si>
  <si>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</si>
  <si>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</si>
  <si>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</si>
  <si>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</si>
  <si>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</si>
  <si>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</si>
  <si>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</si>
  <si>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</si>
  <si>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</si>
  <si>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</si>
  <si>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</si>
  <si>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</si>
  <si>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</si>
  <si>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</si>
  <si>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</si>
  <si>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</si>
  <si>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</si>
  <si>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</si>
  <si>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</si>
  <si>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</si>
  <si>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</si>
  <si>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</si>
  <si>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</si>
  <si>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</si>
  <si>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</si>
  <si>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</si>
  <si>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</si>
  <si>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</si>
  <si>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</si>
  <si>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</si>
  <si>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</si>
  <si>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</si>
  <si>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</si>
  <si>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</si>
  <si>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</si>
  <si>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</si>
  <si>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</si>
  <si>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</si>
  <si>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</si>
  <si>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</si>
  <si>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</si>
  <si>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</si>
  <si>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</si>
  <si>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</si>
  <si>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</si>
  <si>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</si>
  <si>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</si>
  <si>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</si>
  <si>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</si>
  <si>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</si>
  <si>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</si>
  <si>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</si>
  <si>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</si>
  <si>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</si>
  <si>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</si>
  <si>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</si>
  <si>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</si>
  <si>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</si>
  <si>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</si>
  <si>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</si>
  <si>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</si>
  <si>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</si>
  <si>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</si>
  <si>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</si>
  <si>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</si>
  <si>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</si>
  <si>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</si>
  <si>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</si>
  <si>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</si>
  <si>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</si>
  <si>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</si>
  <si>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</si>
  <si>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</si>
  <si>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</si>
  <si>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</si>
  <si>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</si>
  <si>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</si>
  <si>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</si>
  <si>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</si>
  <si>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Ta Gun Taing</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</si>
  <si>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</si>
  <si>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</si>
  <si>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</si>
  <si>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</si>
  <si>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</si>
  <si>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</si>
  <si>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</si>
  <si>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</si>
  <si>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</si>
  <si>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</si>
  <si>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</si>
  <si>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KMSS-L</t>
  </si>
  <si>
    <t>Kutkai Downtown _ RC Church</t>
  </si>
  <si>
    <t>Manloi</t>
  </si>
  <si>
    <t>Mungji Pa Dabang (Baptist Church)</t>
  </si>
  <si>
    <t>Zup Aung Camp - Galeng Kachin</t>
  </si>
  <si>
    <t>Bum Tsit Pa</t>
  </si>
  <si>
    <t>Maing Khaung KBC</t>
  </si>
  <si>
    <t>Reported by KMSS-Bmo</t>
  </si>
  <si>
    <t>Man Wing Catholic I</t>
  </si>
  <si>
    <t>Man Wing Catholic II</t>
  </si>
  <si>
    <t>La Na Zup ja</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</si>
  <si>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</si>
  <si>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</si>
  <si>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</si>
  <si>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</si>
  <si>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</si>
  <si>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</si>
  <si>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</si>
  <si>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</si>
  <si>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</si>
  <si>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</si>
  <si>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</si>
  <si>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</si>
  <si>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</si>
  <si>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</si>
  <si>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</si>
  <si>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</si>
  <si>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</si>
  <si>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</si>
  <si>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</si>
  <si>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</si>
  <si>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</si>
  <si>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</si>
  <si>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</si>
  <si>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</si>
  <si>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</si>
  <si>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</si>
  <si>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</si>
  <si>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</si>
  <si>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</si>
  <si>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</si>
  <si>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</si>
  <si>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</si>
  <si>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</si>
  <si>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</si>
  <si>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</si>
  <si>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</si>
  <si>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</si>
  <si>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</si>
  <si>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 xml:space="preserve">Qtr 4 Monestry (Thargaya Thayet Taw) </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</si>
  <si>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</si>
  <si>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</si>
  <si>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</si>
  <si>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</si>
  <si>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</si>
  <si>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</si>
  <si>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</si>
  <si>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</si>
  <si>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</si>
  <si>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</si>
  <si>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</si>
  <si>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</si>
  <si>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</si>
  <si>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</si>
  <si>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</si>
  <si>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</si>
  <si>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</si>
  <si>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</si>
  <si>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</si>
  <si>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</si>
  <si>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</si>
  <si>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25/Jul/2016: Added as new camp according to KBC data.</t>
  </si>
  <si>
    <t xml:space="preserve">No agency has visited since Jul/2016, KBC to follow up.
25/Jul/2016: Added as new camp according to KBC data. </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</si>
  <si>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</si>
  <si>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</si>
  <si>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</si>
  <si>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</si>
  <si>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</si>
  <si>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</si>
  <si>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</si>
  <si>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</si>
  <si>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</si>
  <si>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</si>
  <si>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</si>
  <si>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</si>
  <si>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</si>
  <si>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</si>
  <si>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</si>
  <si>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</si>
  <si>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</si>
  <si>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</si>
  <si>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</si>
  <si>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</si>
  <si>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</si>
  <si>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</si>
  <si>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</si>
  <si>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</si>
  <si>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</si>
  <si>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</si>
  <si>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</si>
  <si>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</si>
  <si>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</si>
  <si>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</si>
  <si>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</si>
  <si>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</si>
  <si>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</si>
  <si>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</si>
  <si>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</si>
  <si>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</si>
  <si>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</si>
  <si>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</si>
  <si>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</si>
  <si>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</si>
  <si>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</si>
  <si>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</si>
  <si>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</si>
  <si>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</si>
  <si>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</si>
  <si>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</si>
  <si>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</si>
  <si>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</si>
  <si>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</si>
  <si>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</si>
  <si>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</si>
  <si>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</si>
  <si>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</si>
  <si>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</si>
  <si>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</si>
  <si>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</si>
  <si>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</si>
  <si>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</si>
  <si>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</si>
  <si>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</si>
  <si>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</si>
  <si>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</si>
  <si>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</si>
  <si>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</si>
  <si>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</si>
  <si>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</si>
  <si>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</si>
  <si>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</si>
  <si>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</si>
  <si>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</si>
  <si>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</si>
  <si>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</si>
  <si>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</si>
  <si>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</si>
  <si>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</si>
  <si>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</si>
  <si>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</si>
  <si>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</si>
  <si>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</si>
  <si>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</si>
  <si>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</si>
  <si>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</si>
  <si>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</si>
  <si>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</si>
  <si>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</si>
  <si>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</si>
  <si>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</si>
  <si>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</si>
  <si>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</si>
  <si>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</si>
  <si>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</si>
  <si>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</si>
  <si>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</si>
  <si>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</si>
  <si>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</si>
  <si>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</si>
  <si>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</si>
  <si>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</si>
  <si>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</si>
  <si>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</si>
  <si>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</si>
  <si>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</si>
  <si>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</si>
  <si>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</si>
  <si>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</si>
  <si>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</si>
  <si>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</si>
  <si>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</si>
  <si>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</si>
  <si>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</si>
  <si>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</si>
  <si>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</si>
  <si>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</si>
  <si>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</si>
  <si>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</si>
  <si>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</si>
  <si>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</si>
  <si>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</si>
  <si>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</si>
  <si>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</si>
  <si>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</si>
  <si>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</si>
  <si>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</si>
  <si>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</si>
  <si>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</si>
  <si>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</si>
  <si>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</si>
  <si>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</si>
  <si>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</si>
  <si>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</si>
  <si>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 village</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</si>
  <si>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</si>
  <si>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</si>
  <si>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</si>
  <si>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</si>
  <si>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</si>
  <si>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</si>
  <si>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</si>
  <si>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</si>
  <si>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</si>
  <si>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</si>
  <si>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</si>
  <si>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</si>
  <si>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</si>
  <si>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</si>
  <si>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</si>
  <si>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</si>
  <si>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</si>
  <si>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</si>
  <si>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</si>
  <si>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</si>
  <si>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</si>
  <si>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</si>
  <si>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</si>
  <si>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</si>
  <si>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</si>
  <si>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Lack of access. Not updated since Mar/2014.
Change to Host Families.</t>
  </si>
  <si>
    <t>closed</t>
  </si>
  <si>
    <t>Qtr.2 Lhavo Zonal</t>
  </si>
  <si>
    <t>waing maw AG</t>
  </si>
  <si>
    <t>UNHCR/DRC joint mission</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</si>
  <si>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</si>
  <si>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</si>
  <si>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</si>
  <si>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</si>
  <si>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</si>
  <si>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</si>
  <si>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</si>
  <si>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</si>
  <si>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</si>
  <si>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</si>
  <si>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</si>
  <si>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</si>
  <si>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</si>
  <si>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</si>
  <si>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</si>
  <si>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</si>
  <si>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</si>
  <si>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</si>
  <si>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</si>
  <si>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</si>
  <si>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</si>
  <si>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</si>
  <si>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</si>
  <si>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t>Mandalay Monastery</t>
  </si>
  <si>
    <t xml:space="preserve">Aup Kyin Shan </t>
  </si>
  <si>
    <t>ICRC</t>
  </si>
  <si>
    <t>KMSS-M/UNHCR</t>
  </si>
  <si>
    <t>KMSS-B/NRC</t>
  </si>
  <si>
    <t>Ongoing till Feb 2018</t>
  </si>
  <si>
    <t>Relief International ( RI)</t>
  </si>
  <si>
    <t>RI</t>
  </si>
  <si>
    <t xml:space="preserve">Muse </t>
  </si>
  <si>
    <t>B.E.H.S(1)</t>
  </si>
  <si>
    <t>Aung Min Galar Monastery</t>
  </si>
  <si>
    <t>Aung Myay Thar Yar Monastery</t>
  </si>
  <si>
    <t>Warso Monastery</t>
  </si>
  <si>
    <t>Namhkam</t>
  </si>
  <si>
    <t>Thanti Thukha Religious building</t>
  </si>
  <si>
    <t>Nam Hpak Ka Ta'ang ( Aung Tha Pyay)</t>
  </si>
  <si>
    <t>Camp Like setting</t>
  </si>
  <si>
    <t xml:space="preserve">5/Mar/2018: Population update. Data source:  Camp manager 
New displacement from Tingkawk
</t>
  </si>
  <si>
    <t>KMSSB and NRC will cover 100 each</t>
  </si>
  <si>
    <t>Reported by Shalom</t>
  </si>
  <si>
    <t>DRC/Metta</t>
  </si>
  <si>
    <t>Chipwi LBC camp</t>
  </si>
  <si>
    <t>Shelter gap/needs:  2018</t>
  </si>
  <si>
    <t>Planned coverage: Jul - Dec 2018</t>
  </si>
  <si>
    <t>remaining gap/needs: 2018</t>
  </si>
  <si>
    <t>Dignity Kits</t>
  </si>
  <si>
    <t>31.12.2017</t>
  </si>
  <si>
    <t>IRC</t>
  </si>
  <si>
    <t>UNFPA</t>
  </si>
  <si>
    <t>Dignity Kit</t>
  </si>
  <si>
    <t>CSOs</t>
  </si>
  <si>
    <t>Aung Min Galar (Monastery)</t>
  </si>
  <si>
    <t>Jawsaw</t>
  </si>
  <si>
    <t>Kaung AI (Monastery)</t>
  </si>
  <si>
    <t>Hkauk Kwe (Monastery)</t>
  </si>
  <si>
    <t>Warso ( Monastery)</t>
  </si>
  <si>
    <t>Aung Myay Thar Yar (Monastery)</t>
  </si>
  <si>
    <t>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</si>
  <si>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KMSS_Bhamo</t>
  </si>
  <si>
    <t>KMSS-LSO/UNHCR</t>
  </si>
  <si>
    <r>
      <t>Lawng Hkang Shait Yang Camp</t>
    </r>
    <r>
      <rPr>
        <sz val="12"/>
        <rFont val="Calibri"/>
        <family val="2"/>
        <scheme val="minor"/>
      </rPr>
      <t>​ ( Lel Pyin)​ </t>
    </r>
  </si>
  <si>
    <t>Shelter gap analysis February 2018</t>
  </si>
  <si>
    <t>ICRC last cluster meeting</t>
  </si>
  <si>
    <t>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</si>
  <si>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Current Coverage</t>
  </si>
  <si>
    <t>KMSS-B and Cordaid agreement to be signed</t>
  </si>
  <si>
    <t>KMSSB 36units completed in Match18,  KBC 231 units on going</t>
  </si>
  <si>
    <t>UNHCR/KMSSB</t>
  </si>
  <si>
    <t>KBC/KMSSB</t>
  </si>
  <si>
    <t>KMSS-M/UNHCR/ICRC</t>
  </si>
  <si>
    <t>Bhamo Total</t>
  </si>
  <si>
    <t>shalom/UNHCR</t>
  </si>
  <si>
    <t>KBC/UNHCR</t>
  </si>
  <si>
    <t>Yes for 5</t>
  </si>
  <si>
    <t>Mansi Total</t>
  </si>
  <si>
    <t>Mogaung Total</t>
  </si>
  <si>
    <t>Mohnyin Total</t>
  </si>
  <si>
    <t>Momauk Total</t>
  </si>
  <si>
    <t>Puta-O Total</t>
  </si>
  <si>
    <t>Shwegu Total</t>
  </si>
  <si>
    <t>Sumprabum Total</t>
  </si>
  <si>
    <t>Hseni Total</t>
  </si>
  <si>
    <t>Kutkai Total</t>
  </si>
  <si>
    <t>Manton Total</t>
  </si>
  <si>
    <t>Muse Total</t>
  </si>
  <si>
    <t>Namhkan Total</t>
  </si>
  <si>
    <t>Namtu Total</t>
  </si>
  <si>
    <t>Shan_North Total</t>
  </si>
  <si>
    <t>UNHCR/KBC</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</si>
  <si>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</si>
  <si>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</si>
  <si>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</si>
  <si>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</si>
  <si>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</si>
  <si>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</si>
  <si>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</si>
  <si>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</si>
  <si>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</si>
  <si>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</si>
  <si>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</si>
  <si>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</si>
  <si>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</si>
  <si>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</si>
  <si>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Metta/MHF</t>
  </si>
  <si>
    <t>Reported by Metta</t>
  </si>
  <si>
    <t>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</si>
  <si>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</si>
  <si>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</si>
  <si>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</si>
  <si>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</si>
  <si>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30/4/2018</t>
  </si>
  <si>
    <t>NFI Kits</t>
  </si>
  <si>
    <t>Emergency Fund</t>
  </si>
  <si>
    <t>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</si>
  <si>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Distribution Month/Year (Auto-calculated)</t>
  </si>
  <si>
    <t>Tanai Total</t>
  </si>
  <si>
    <t>Hsipaw Total</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</si>
  <si>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</si>
  <si>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</si>
  <si>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</si>
  <si>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</si>
  <si>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</si>
  <si>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</si>
  <si>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r>
      <t xml:space="preserve">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</si>
  <si>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</si>
  <si>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</si>
  <si>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</si>
  <si>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</si>
  <si>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</si>
  <si>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</si>
  <si>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</si>
  <si>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</si>
  <si>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</si>
  <si>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</si>
  <si>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</si>
  <si>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</si>
  <si>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</si>
  <si>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</si>
  <si>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</si>
  <si>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</si>
  <si>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</si>
  <si>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</si>
  <si>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</si>
  <si>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</si>
  <si>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</si>
  <si>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</si>
  <si>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10/May/2018: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</si>
  <si>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</si>
  <si>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</si>
  <si>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</si>
  <si>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</si>
  <si>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</si>
  <si>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</si>
  <si>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</si>
  <si>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</si>
  <si>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</si>
  <si>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</si>
  <si>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</si>
  <si>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30/Apr/2018: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</si>
  <si>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</si>
  <si>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</si>
  <si>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</si>
  <si>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30/Apr/2018: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</si>
  <si>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</si>
  <si>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30/Apr/2018: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</si>
  <si>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</si>
  <si>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</si>
  <si>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</si>
  <si>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</si>
  <si>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</si>
  <si>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</si>
  <si>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</si>
  <si>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</si>
  <si>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</si>
  <si>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</si>
  <si>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</si>
  <si>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</si>
  <si>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</si>
  <si>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</si>
  <si>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</si>
  <si>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10/May/2018: Population update. Data source: KBC
30/Apr/2018: Population update. Data source: KBC
27/Mar/2018: Population update. Data source: KBC
5/Mar/2018: Population update. Data source: KBC
Three locations in Du Kahtawng merged as per 1st of July </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</si>
  <si>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</si>
  <si>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10/May/2018: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</si>
  <si>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</si>
  <si>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</si>
  <si>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10/May/2018: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</si>
  <si>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</si>
  <si>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10/May/2018: Population update. Data source: KBC30/Apr/2018: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</si>
  <si>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</si>
  <si>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</si>
  <si>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</si>
  <si>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</si>
  <si>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</si>
  <si>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</si>
  <si>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</si>
  <si>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</si>
  <si>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</si>
  <si>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</si>
  <si>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</si>
  <si>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</si>
  <si>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</si>
  <si>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</si>
  <si>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10/May/2018: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</si>
  <si>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</si>
  <si>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10/May/2018: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</si>
  <si>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</si>
  <si>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</si>
  <si>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10/May/2018: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</si>
  <si>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</si>
  <si>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10/May/2018: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</si>
  <si>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</si>
  <si>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</si>
  <si>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10/May/2018: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</si>
  <si>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10/May/2018: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</si>
  <si>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</si>
  <si>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</si>
  <si>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10/May/2018: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</si>
  <si>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10/May/2018: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</si>
  <si>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</si>
  <si>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10/May/2018: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</si>
  <si>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10/May/2018: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</si>
  <si>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10/May/2018: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</si>
  <si>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</si>
  <si>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10/May/2018: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</si>
  <si>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</si>
  <si>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10/May/2018: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</si>
  <si>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</si>
  <si>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</si>
  <si>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</si>
  <si>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</si>
  <si>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</si>
  <si>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</si>
  <si>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</si>
  <si>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10/May/2018: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</si>
  <si>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10/May/2018: Population update. Data source: KBC
30/Apr/2018: Population update. Data source: KBC
27/Mar/2018: Population update. Data source: KBC
5/Mar/2018: Population update. Data source: KBC
CCCM activities start in july 2017</t>
  </si>
  <si>
    <t>15/May/2018: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</si>
  <si>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Tang Hpare Camp</t>
  </si>
  <si>
    <t>Lambraw Yang (KBC)</t>
  </si>
  <si>
    <t>Kan La (AG)</t>
  </si>
  <si>
    <t>Myo OO(RC)</t>
  </si>
  <si>
    <t>Lambraw Yang (RC)</t>
  </si>
  <si>
    <t>Moegaung</t>
  </si>
  <si>
    <t>Plan Int.</t>
  </si>
  <si>
    <t>WVI</t>
  </si>
  <si>
    <t>Mogaung,Namatee</t>
  </si>
  <si>
    <t>InJang Yang</t>
  </si>
  <si>
    <t>Kut Kai</t>
  </si>
  <si>
    <t>N-Shan</t>
  </si>
  <si>
    <t xml:space="preserve">Aung Lawt </t>
  </si>
  <si>
    <t>Lan Gwa (KBC) Church</t>
  </si>
  <si>
    <t>Lan Gwa (RC) Church</t>
  </si>
  <si>
    <t>Emanuel AG Church</t>
  </si>
  <si>
    <t>Myo Oo RC Church</t>
  </si>
  <si>
    <t>Tang Hpre RC</t>
  </si>
  <si>
    <t>Tiyang Zup</t>
  </si>
  <si>
    <t>Hka Wan KBC</t>
  </si>
  <si>
    <t>Shangaw KBC</t>
  </si>
  <si>
    <t>Chipwi KBC and LBC</t>
  </si>
  <si>
    <t>Hlaing Naung Hku/Ka Mai</t>
  </si>
  <si>
    <t>InJang Yang RC Church</t>
  </si>
  <si>
    <t>Tanai RC Church-Kinsa Ra</t>
  </si>
  <si>
    <t>Lawa RC Church</t>
  </si>
  <si>
    <t>Jawmaswat, Naung Nan</t>
  </si>
  <si>
    <t>Trinity</t>
  </si>
  <si>
    <t>Mai Yu Lay</t>
  </si>
  <si>
    <t>Tat Con COC</t>
  </si>
  <si>
    <t>Maina KBC</t>
  </si>
  <si>
    <t>Palana RC</t>
  </si>
  <si>
    <t>KMSS-MKN/Cordaid</t>
  </si>
  <si>
    <t>KBC/ICRC/NRC</t>
  </si>
  <si>
    <t>KBC/UNHCR/DRC</t>
  </si>
  <si>
    <t>KMSS-L/MHF/ICRC</t>
  </si>
  <si>
    <t>KMSS-L/UNHCR</t>
  </si>
  <si>
    <t>KMSS-B/Cordaid</t>
  </si>
  <si>
    <t>Trocaire</t>
  </si>
  <si>
    <t>Metta/Trocaire</t>
  </si>
  <si>
    <t xml:space="preserve">KMSS </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</si>
  <si>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</si>
  <si>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</si>
  <si>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</si>
  <si>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</si>
  <si>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</si>
  <si>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</si>
  <si>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</si>
  <si>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</si>
  <si>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</si>
  <si>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</si>
  <si>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</si>
  <si>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</si>
  <si>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</si>
  <si>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</si>
  <si>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</si>
  <si>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Lan Gwa KBC Church</t>
  </si>
  <si>
    <t>21/May/2018: Added as new camp. Data source: MIRA (Multi Sector Assessment Team)</t>
  </si>
  <si>
    <t>MMR001008702501</t>
  </si>
  <si>
    <t>Emmanuel AG Church</t>
  </si>
  <si>
    <t>Trinity KBC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</si>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</sst>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5"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rgb="FFCC0000"/>
      <name val="Calibri"/>
      <family val="2"/>
      <scheme val="minor"/>
    </font>
    <font>
      <sz val="11"/>
      <color indexed="8"/>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819">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165" fontId="0" fillId="5" borderId="0" xfId="0" applyNumberFormat="1" applyFill="1" applyBorder="1"/>
    <xf numFmtId="0" fontId="0" fillId="5" borderId="4" xfId="0" applyFill="1" applyBorder="1" applyAlignment="1">
      <alignment horizontal="left" indent="1"/>
    </xf>
    <xf numFmtId="165" fontId="0" fillId="6" borderId="20" xfId="0" applyNumberFormat="1" applyFill="1" applyBorder="1" applyAlignment="1">
      <alignment horizontal="left"/>
    </xf>
    <xf numFmtId="165" fontId="0" fillId="6" borderId="38" xfId="0" applyNumberFormat="1" applyFill="1"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18" borderId="0" xfId="0" applyNumberFormat="1" applyFill="1" applyBorder="1"/>
    <xf numFmtId="165" fontId="0" fillId="20" borderId="4" xfId="0" applyNumberFormat="1" applyFill="1" applyBorder="1" applyAlignment="1">
      <alignment horizontal="left"/>
    </xf>
    <xf numFmtId="165" fontId="0" fillId="20" borderId="0" xfId="0" applyNumberFormat="1" applyFill="1" applyBorder="1"/>
    <xf numFmtId="165" fontId="0" fillId="20" borderId="34" xfId="0" applyNumberFormat="1" applyFill="1" applyBorder="1"/>
    <xf numFmtId="0" fontId="0" fillId="18" borderId="2" xfId="0" applyFill="1" applyBorder="1"/>
    <xf numFmtId="9" fontId="0" fillId="5" borderId="34" xfId="0" applyNumberFormat="1" applyFill="1" applyBorder="1"/>
    <xf numFmtId="0" fontId="0" fillId="5" borderId="4" xfId="0" applyFill="1" applyBorder="1" applyAlignment="1">
      <alignment horizontal="left"/>
    </xf>
    <xf numFmtId="9" fontId="0" fillId="6" borderId="15" xfId="0" applyNumberFormat="1"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165" fontId="0" fillId="18" borderId="1" xfId="0" applyNumberFormat="1"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165" fontId="0" fillId="18" borderId="38"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0" fillId="5" borderId="3" xfId="0" applyFill="1" applyBorder="1"/>
    <xf numFmtId="0" fontId="0" fillId="5" borderId="2" xfId="0" applyFill="1" applyBorder="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4" xfId="0" applyFont="1" applyFill="1" applyBorder="1" applyAlignment="1">
      <alignment horizontal="lef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30"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3" fillId="17" borderId="18"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30" xfId="0" applyFont="1" applyFill="1" applyBorder="1" applyAlignment="1" applyProtection="1">
      <alignment horizontal="center" vertic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52" fillId="0" borderId="1" xfId="0" applyFont="1" applyFill="1" applyBorder="1" applyAlignment="1" applyProtection="1">
      <alignment horizontal="center"/>
    </xf>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60" fillId="5" borderId="0" xfId="6" applyFont="1" applyFill="1" applyBorder="1" applyAlignment="1">
      <alignment vertical="center"/>
    </xf>
    <xf numFmtId="0" fontId="0" fillId="20" borderId="14" xfId="0" applyFill="1" applyBorder="1" applyAlignment="1">
      <alignment vertical="center"/>
    </xf>
    <xf numFmtId="165" fontId="44" fillId="0" borderId="0" xfId="7" quotePrefix="1" applyNumberFormat="1" applyFont="1" applyFill="1" applyBorder="1" applyAlignment="1">
      <alignment vertical="center"/>
    </xf>
    <xf numFmtId="0" fontId="0" fillId="5" borderId="0" xfId="0" applyFont="1" applyFill="1" applyBorder="1" applyAlignment="1">
      <alignment horizontal="center" vertical="center" wrapText="1"/>
    </xf>
    <xf numFmtId="0" fontId="61" fillId="0" borderId="0" xfId="0" applyFont="1" applyFill="1" applyBorder="1" applyAlignment="1">
      <alignment vertical="center"/>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1"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3"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4"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18" borderId="22" xfId="0" applyFill="1" applyBorder="1" applyAlignment="1">
      <alignment horizontal="center"/>
    </xf>
    <xf numFmtId="0" fontId="0" fillId="18" borderId="37" xfId="0" applyFill="1" applyBorder="1" applyAlignment="1">
      <alignment horizontal="left"/>
    </xf>
    <xf numFmtId="9" fontId="0" fillId="18" borderId="34" xfId="0" applyNumberFormat="1" applyFill="1" applyBorder="1"/>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7" xfId="0" applyFont="1" applyBorder="1" applyAlignment="1">
      <alignment horizontal="center" vertical="center" textRotation="90"/>
    </xf>
    <xf numFmtId="0" fontId="52" fillId="0" borderId="58" xfId="0" applyFont="1" applyBorder="1" applyAlignment="1">
      <alignment horizontal="center" vertical="center" textRotation="90"/>
    </xf>
    <xf numFmtId="0" fontId="52" fillId="0" borderId="59" xfId="0" applyFont="1" applyBorder="1" applyAlignment="1">
      <alignment horizontal="center" vertical="center" textRotation="90"/>
    </xf>
    <xf numFmtId="0" fontId="52" fillId="0" borderId="57" xfId="0" applyFont="1" applyBorder="1" applyAlignment="1">
      <alignment horizontal="center" vertical="center" textRotation="90" wrapText="1"/>
    </xf>
    <xf numFmtId="0" fontId="52" fillId="0" borderId="58" xfId="0" applyFont="1" applyBorder="1" applyAlignment="1">
      <alignment horizontal="center" vertical="center" textRotation="90" wrapText="1"/>
    </xf>
    <xf numFmtId="0" fontId="52" fillId="0" borderId="59"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52"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6" xfId="0" applyFont="1" applyFill="1" applyBorder="1" applyProtection="1">
      <protection locked="0"/>
    </xf>
    <xf numFmtId="0" fontId="61" fillId="17"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6"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7"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5" fillId="4" borderId="68" xfId="0" applyFont="1" applyFill="1" applyBorder="1" applyAlignment="1">
      <alignment vertical="center"/>
    </xf>
    <xf numFmtId="0" fontId="65" fillId="4" borderId="69" xfId="0" applyFont="1" applyFill="1" applyBorder="1" applyAlignment="1">
      <alignment vertical="center"/>
    </xf>
    <xf numFmtId="0" fontId="14" fillId="4" borderId="70"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7" xfId="6" applyNumberFormat="1" applyFont="1" applyFill="1" applyBorder="1" applyAlignment="1">
      <alignment horizontal="right" vertical="center"/>
    </xf>
    <xf numFmtId="165" fontId="18" fillId="4" borderId="67"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2"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6" fillId="0" borderId="14" xfId="0" applyFont="1" applyFill="1" applyBorder="1" applyAlignment="1">
      <alignment vertical="center"/>
    </xf>
    <xf numFmtId="0" fontId="66"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71"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8" fillId="0" borderId="0" xfId="0" applyFont="1"/>
    <xf numFmtId="0" fontId="52" fillId="0" borderId="72" xfId="0" applyFont="1" applyBorder="1" applyAlignment="1">
      <alignment horizontal="center" vertical="center" textRotation="90"/>
    </xf>
    <xf numFmtId="0" fontId="52" fillId="0" borderId="61" xfId="0" applyFont="1" applyBorder="1" applyAlignment="1">
      <alignment horizontal="center" vertical="center" textRotation="90"/>
    </xf>
    <xf numFmtId="0" fontId="52" fillId="0" borderId="1" xfId="0" applyFont="1" applyBorder="1" applyAlignment="1">
      <alignment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9"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9" fillId="0" borderId="0" xfId="0" applyFont="1" applyFill="1" applyBorder="1" applyAlignment="1">
      <alignment horizontal="right" vertical="center"/>
    </xf>
    <xf numFmtId="0" fontId="69"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15" fontId="9" fillId="0" borderId="3" xfId="0" applyNumberFormat="1" applyFont="1" applyFill="1" applyBorder="1" applyAlignment="1">
      <alignment horizontal="left" vertical="center"/>
    </xf>
    <xf numFmtId="0" fontId="9" fillId="0" borderId="2" xfId="0" applyFont="1" applyFill="1" applyBorder="1"/>
    <xf numFmtId="0" fontId="9" fillId="0" borderId="5" xfId="0" applyFont="1" applyFill="1" applyBorder="1"/>
    <xf numFmtId="0" fontId="9" fillId="0" borderId="1" xfId="0" applyFont="1" applyFill="1" applyBorder="1" applyAlignment="1">
      <alignment wrapText="1"/>
    </xf>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2" fontId="12" fillId="0" borderId="0" xfId="6" applyNumberFormat="1" applyFont="1" applyFill="1" applyBorder="1" applyAlignment="1">
      <alignmen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14" fontId="12" fillId="0" borderId="38" xfId="6" applyNumberFormat="1" applyFont="1" applyFill="1" applyBorder="1" applyAlignment="1">
      <alignment horizontal="right" vertical="center"/>
    </xf>
    <xf numFmtId="1" fontId="12" fillId="0" borderId="38" xfId="6" applyNumberFormat="1" applyFont="1" applyFill="1" applyBorder="1" applyAlignment="1">
      <alignment horizontal="righ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alignment horizontal="left" wrapText="1"/>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46" fillId="0" borderId="31" xfId="0" applyFont="1" applyFill="1" applyBorder="1" applyAlignment="1" applyProtection="1">
      <alignment horizontal="center"/>
      <protection locked="0"/>
    </xf>
    <xf numFmtId="0" fontId="46" fillId="0" borderId="32" xfId="0" applyFont="1" applyFill="1" applyBorder="1" applyAlignment="1" applyProtection="1">
      <alignment horizontal="center"/>
      <protection locked="0"/>
    </xf>
    <xf numFmtId="0" fontId="46" fillId="0" borderId="33" xfId="0" applyFont="1" applyFill="1" applyBorder="1" applyAlignment="1" applyProtection="1">
      <alignment horizontal="center"/>
      <protection locked="0"/>
    </xf>
    <xf numFmtId="0" fontId="46" fillId="0" borderId="31" xfId="0" applyFont="1" applyFill="1" applyBorder="1" applyAlignment="1" applyProtection="1">
      <alignment horizontal="center"/>
    </xf>
    <xf numFmtId="0" fontId="46" fillId="0" borderId="32" xfId="0" applyFont="1" applyFill="1" applyBorder="1" applyAlignment="1" applyProtection="1">
      <alignment horizontal="center"/>
    </xf>
    <xf numFmtId="0" fontId="46" fillId="0" borderId="33" xfId="0" applyFont="1" applyFill="1" applyBorder="1" applyAlignment="1" applyProtection="1">
      <alignment horizontal="center"/>
    </xf>
    <xf numFmtId="0" fontId="46" fillId="0" borderId="17" xfId="0" applyFont="1" applyFill="1" applyBorder="1" applyAlignment="1" applyProtection="1">
      <alignment horizontal="center"/>
      <protection locked="0"/>
    </xf>
    <xf numFmtId="0" fontId="46" fillId="0" borderId="1" xfId="0" applyFont="1" applyFill="1" applyBorder="1" applyAlignment="1" applyProtection="1">
      <alignment horizontal="center"/>
      <protection locked="0"/>
    </xf>
    <xf numFmtId="0" fontId="46" fillId="0" borderId="18" xfId="0" applyFont="1" applyFill="1" applyBorder="1" applyAlignment="1" applyProtection="1">
      <alignment horizontal="center"/>
      <protection locked="0"/>
    </xf>
    <xf numFmtId="0" fontId="46" fillId="0" borderId="17"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8" xfId="0" applyFont="1" applyFill="1" applyBorder="1" applyAlignment="1" applyProtection="1">
      <alignment horizont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Protection="1"/>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46" fillId="0" borderId="19" xfId="0" applyFont="1" applyFill="1" applyBorder="1" applyProtection="1">
      <protection locked="0"/>
    </xf>
    <xf numFmtId="0" fontId="46" fillId="24" borderId="21" xfId="0" applyFont="1" applyFill="1" applyBorder="1" applyAlignment="1" applyProtection="1">
      <alignment horizontal="center"/>
      <protection locked="0"/>
    </xf>
    <xf numFmtId="0" fontId="46" fillId="24" borderId="7" xfId="0" applyFont="1" applyFill="1" applyBorder="1" applyAlignment="1" applyProtection="1">
      <alignment horizontal="center"/>
      <protection locked="0"/>
    </xf>
    <xf numFmtId="0" fontId="46" fillId="24" borderId="62" xfId="0" applyFont="1" applyFill="1" applyBorder="1" applyAlignment="1" applyProtection="1">
      <alignment horizontal="center"/>
      <protection locked="0"/>
    </xf>
    <xf numFmtId="0" fontId="0" fillId="0" borderId="5" xfId="0" quotePrefix="1" applyFont="1" applyFill="1" applyBorder="1" applyAlignment="1">
      <alignment horizontal="center" vertical="center" wrapText="1"/>
    </xf>
    <xf numFmtId="43" fontId="66" fillId="0" borderId="0" xfId="0" applyNumberFormat="1" applyFont="1" applyBorder="1" applyAlignment="1">
      <alignment vertical="center"/>
    </xf>
    <xf numFmtId="0" fontId="3" fillId="0" borderId="37" xfId="0" pivotButton="1" applyFont="1" applyBorder="1" applyAlignment="1">
      <alignment vertical="center"/>
    </xf>
    <xf numFmtId="0" fontId="52" fillId="2" borderId="17" xfId="0" applyFont="1" applyFill="1" applyBorder="1" applyProtection="1">
      <protection locked="0"/>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19" fillId="2" borderId="17" xfId="0" applyFont="1" applyFill="1" applyBorder="1" applyProtection="1">
      <protection locked="0"/>
    </xf>
    <xf numFmtId="0" fontId="19" fillId="2" borderId="1" xfId="0" applyFont="1" applyFill="1" applyBorder="1" applyProtection="1">
      <protection locked="0"/>
    </xf>
    <xf numFmtId="0" fontId="19" fillId="2" borderId="1" xfId="0" applyFont="1" applyFill="1" applyBorder="1" applyAlignment="1" applyProtection="1">
      <alignment horizontal="center"/>
      <protection locked="0"/>
    </xf>
    <xf numFmtId="0" fontId="52" fillId="2" borderId="18" xfId="0" applyFont="1" applyFill="1" applyBorder="1" applyProtection="1">
      <protection locked="0"/>
    </xf>
    <xf numFmtId="0" fontId="52" fillId="2" borderId="17" xfId="0" applyFont="1" applyFill="1" applyBorder="1" applyProtection="1"/>
    <xf numFmtId="0" fontId="19" fillId="2" borderId="30" xfId="0" applyFont="1" applyFill="1" applyBorder="1" applyAlignment="1" applyProtection="1">
      <alignment horizontal="center" vertical="center"/>
      <protection locked="0"/>
    </xf>
    <xf numFmtId="0" fontId="19" fillId="2" borderId="0" xfId="0" applyFont="1" applyFill="1" applyProtection="1">
      <protection locked="0"/>
    </xf>
    <xf numFmtId="0" fontId="19" fillId="2" borderId="1" xfId="0" applyFont="1" applyFill="1" applyBorder="1" applyAlignment="1" applyProtection="1">
      <alignment vertical="center"/>
      <protection locked="0"/>
    </xf>
    <xf numFmtId="0" fontId="51" fillId="2" borderId="2" xfId="0" applyFont="1" applyFill="1" applyBorder="1" applyAlignment="1" applyProtection="1">
      <alignment vertical="center"/>
      <protection locked="0"/>
    </xf>
    <xf numFmtId="15" fontId="9" fillId="0" borderId="3" xfId="0" applyNumberFormat="1" applyFont="1" applyBorder="1"/>
    <xf numFmtId="15" fontId="9" fillId="0" borderId="3" xfId="0" applyNumberFormat="1" applyFont="1" applyFill="1" applyBorder="1"/>
    <xf numFmtId="0" fontId="52" fillId="0" borderId="72" xfId="0" applyFont="1" applyBorder="1" applyAlignment="1">
      <alignment horizontal="center" vertical="center" textRotation="90" wrapText="1"/>
    </xf>
    <xf numFmtId="0" fontId="52" fillId="0" borderId="1"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2" fillId="0" borderId="0" xfId="0" applyFont="1" applyBorder="1"/>
    <xf numFmtId="0" fontId="72" fillId="0" borderId="0" xfId="0" applyFont="1" applyFill="1" applyBorder="1"/>
    <xf numFmtId="1" fontId="21" fillId="0" borderId="0" xfId="0" applyNumberFormat="1" applyFont="1" applyBorder="1" applyAlignment="1">
      <alignment horizontal="center" vertical="center"/>
    </xf>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3" fillId="0" borderId="0" xfId="0" applyFont="1" applyFill="1" applyBorder="1" applyAlignment="1">
      <alignment horizontal="right" vertical="center"/>
    </xf>
    <xf numFmtId="1" fontId="73" fillId="0" borderId="0" xfId="0" applyNumberFormat="1" applyFont="1" applyFill="1" applyBorder="1" applyAlignment="1">
      <alignment horizontal="right" vertical="center"/>
    </xf>
    <xf numFmtId="49" fontId="72" fillId="0" borderId="0" xfId="0" applyNumberFormat="1" applyFont="1" applyBorder="1"/>
    <xf numFmtId="0" fontId="72" fillId="0" borderId="0" xfId="0" applyFont="1" applyBorder="1" applyAlignment="1">
      <alignment horizontal="center"/>
    </xf>
    <xf numFmtId="0" fontId="0" fillId="5" borderId="10" xfId="0" applyFill="1" applyBorder="1" applyAlignment="1">
      <alignment horizontal="left"/>
    </xf>
    <xf numFmtId="0" fontId="0" fillId="5" borderId="39" xfId="0" applyFill="1" applyBorder="1" applyAlignment="1">
      <alignment horizontal="left"/>
    </xf>
    <xf numFmtId="49" fontId="9" fillId="3" borderId="0" xfId="0" applyNumberFormat="1" applyFont="1" applyFill="1" applyBorder="1" applyAlignment="1">
      <alignment vertical="center"/>
    </xf>
    <xf numFmtId="0" fontId="74" fillId="0" borderId="76" xfId="17" applyFont="1" applyFill="1" applyBorder="1" applyAlignment="1">
      <alignment vertical="center"/>
    </xf>
    <xf numFmtId="0" fontId="74" fillId="0" borderId="76" xfId="19" applyFont="1" applyFill="1" applyBorder="1" applyAlignment="1">
      <alignment vertical="center"/>
    </xf>
    <xf numFmtId="0" fontId="74" fillId="0" borderId="76" xfId="13" applyFont="1" applyFill="1" applyBorder="1" applyAlignment="1">
      <alignment horizontal="right"/>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xf>
    <xf numFmtId="0" fontId="10" fillId="0" borderId="38" xfId="6" applyFont="1" applyFill="1" applyBorder="1" applyAlignment="1">
      <alignment horizontal="right" vertical="top"/>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34" fillId="0" borderId="0" xfId="0" applyFont="1" applyAlignment="1">
      <alignment horizontal="left" wrapText="1"/>
    </xf>
    <xf numFmtId="0" fontId="38" fillId="5" borderId="37" xfId="6" applyFont="1" applyFill="1" applyBorder="1" applyAlignment="1">
      <alignment horizontal="left"/>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57" xfId="0" applyFont="1" applyFill="1" applyBorder="1" applyAlignment="1" applyProtection="1">
      <alignment horizontal="center" vertical="center"/>
    </xf>
    <xf numFmtId="0" fontId="46" fillId="0" borderId="58" xfId="0" applyFont="1" applyFill="1" applyBorder="1" applyAlignment="1" applyProtection="1">
      <alignment horizontal="center" vertical="center"/>
    </xf>
    <xf numFmtId="0" fontId="46" fillId="0" borderId="59"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19" fillId="0" borderId="60"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46" fillId="24" borderId="63" xfId="0" applyFont="1" applyFill="1" applyBorder="1" applyAlignment="1" applyProtection="1">
      <alignment horizontal="center" vertical="center"/>
      <protection locked="0"/>
    </xf>
    <xf numFmtId="0" fontId="46" fillId="24" borderId="64" xfId="0" applyFont="1" applyFill="1" applyBorder="1" applyAlignment="1" applyProtection="1">
      <alignment horizontal="center" vertical="center"/>
      <protection locked="0"/>
    </xf>
    <xf numFmtId="0" fontId="46" fillId="24" borderId="65" xfId="0" applyFont="1" applyFill="1" applyBorder="1" applyAlignment="1" applyProtection="1">
      <alignment horizontal="center" vertical="center"/>
      <protection locked="0"/>
    </xf>
    <xf numFmtId="0" fontId="46" fillId="0"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9" xfId="0" applyFont="1" applyFill="1" applyBorder="1" applyAlignment="1" applyProtection="1">
      <alignment horizontal="center" vertical="center"/>
      <protection locked="0"/>
    </xf>
    <xf numFmtId="0" fontId="0" fillId="0" borderId="0" xfId="0" applyBorder="1" applyAlignment="1">
      <alignment horizontal="center" vertical="center"/>
    </xf>
    <xf numFmtId="0" fontId="62" fillId="0" borderId="31" xfId="0" applyFont="1" applyFill="1" applyBorder="1" applyAlignment="1">
      <alignment horizontal="center" vertical="center"/>
    </xf>
    <xf numFmtId="0" fontId="62" fillId="0" borderId="32" xfId="0" applyFont="1" applyFill="1" applyBorder="1" applyAlignment="1">
      <alignment horizontal="center" vertical="center"/>
    </xf>
    <xf numFmtId="0" fontId="62" fillId="0" borderId="33" xfId="0" applyFont="1" applyFill="1"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66"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18" xfId="0" applyBorder="1" applyAlignment="1">
      <alignment horizontal="center" vertical="center"/>
    </xf>
    <xf numFmtId="0" fontId="0" fillId="0" borderId="75" xfId="0" applyBorder="1" applyAlignment="1">
      <alignment horizontal="center" vertical="center"/>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12" fillId="4" borderId="51"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3" xfId="0" applyFont="1" applyFill="1" applyBorder="1" applyAlignment="1">
      <alignment horizontal="center" vertical="center"/>
    </xf>
    <xf numFmtId="0" fontId="12" fillId="4" borderId="51"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50" xfId="0" applyFont="1" applyFill="1" applyBorder="1" applyAlignment="1">
      <alignment horizontal="center" vertical="center" textRotation="90"/>
    </xf>
    <xf numFmtId="0" fontId="12" fillId="4" borderId="54"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1" xfId="0" applyFont="1" applyFill="1" applyBorder="1" applyAlignment="1">
      <alignment horizontal="center" vertical="center" textRotation="90" wrapText="1"/>
    </xf>
    <xf numFmtId="0" fontId="12" fillId="4" borderId="55" xfId="0" applyFont="1" applyFill="1" applyBorder="1" applyAlignment="1">
      <alignment horizontal="center" vertical="center" textRotation="90" wrapText="1"/>
    </xf>
    <xf numFmtId="0" fontId="12" fillId="4" borderId="52" xfId="0" applyFont="1" applyFill="1" applyBorder="1" applyAlignment="1">
      <alignment horizontal="center" vertical="center" textRotation="90"/>
    </xf>
    <xf numFmtId="0" fontId="12" fillId="4" borderId="56"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8" fillId="0" borderId="0" xfId="6" applyFont="1" applyFill="1" applyBorder="1" applyAlignment="1">
      <alignment horizontal="left" vertical="center"/>
    </xf>
    <xf numFmtId="0" fontId="23"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Normal_Towns" xfId="19"/>
    <cellStyle name="Percent" xfId="8" builtinId="5"/>
  </cellStyles>
  <dxfs count="1267">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588824"/>
      <color rgb="FFCC0000"/>
      <color rgb="FF6CA62C"/>
      <color rgb="FF993300"/>
      <color rgb="FFCC3300"/>
      <color rgb="FFFFFF00"/>
      <color rgb="FFFD2361"/>
      <color rgb="FFFF0000"/>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[shelter-nfi-cccm_kachin_northern_shan_cluster_analysis_report_march_2018_0.xlsx]IDP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8307</c:v>
                </c:pt>
                <c:pt idx="1">
                  <c:v>2471</c:v>
                </c:pt>
                <c:pt idx="2">
                  <c:v>3587</c:v>
                </c:pt>
                <c:pt idx="3">
                  <c:v>559</c:v>
                </c:pt>
                <c:pt idx="4">
                  <c:v>120</c:v>
                </c:pt>
                <c:pt idx="5">
                  <c:v>4193</c:v>
                </c:pt>
                <c:pt idx="6">
                  <c:v>13390</c:v>
                </c:pt>
                <c:pt idx="7">
                  <c:v>541</c:v>
                </c:pt>
                <c:pt idx="8">
                  <c:v>1465</c:v>
                </c:pt>
                <c:pt idx="9">
                  <c:v>354</c:v>
                </c:pt>
                <c:pt idx="10">
                  <c:v>24925</c:v>
                </c:pt>
                <c:pt idx="11">
                  <c:v>1053</c:v>
                </c:pt>
                <c:pt idx="12">
                  <c:v>11250</c:v>
                </c:pt>
                <c:pt idx="13">
                  <c:v>1977</c:v>
                </c:pt>
                <c:pt idx="14">
                  <c:v>757</c:v>
                </c:pt>
                <c:pt idx="15">
                  <c:v>412</c:v>
                </c:pt>
                <c:pt idx="16">
                  <c:v>529</c:v>
                </c:pt>
                <c:pt idx="17">
                  <c:v>1143</c:v>
                </c:pt>
                <c:pt idx="18">
                  <c:v>915</c:v>
                </c:pt>
                <c:pt idx="19">
                  <c:v>25288</c:v>
                </c:pt>
              </c:numCache>
            </c:numRef>
          </c:val>
        </c:ser>
        <c:dLbls>
          <c:showLegendKey val="0"/>
          <c:showVal val="0"/>
          <c:showCatName val="0"/>
          <c:showSerName val="0"/>
          <c:showPercent val="0"/>
          <c:showBubbleSize val="0"/>
        </c:dLbls>
        <c:gapWidth val="150"/>
        <c:axId val="392432208"/>
        <c:axId val="392429856"/>
      </c:barChart>
      <c:catAx>
        <c:axId val="392432208"/>
        <c:scaling>
          <c:orientation val="minMax"/>
        </c:scaling>
        <c:delete val="0"/>
        <c:axPos val="l"/>
        <c:numFmt formatCode="General" sourceLinked="0"/>
        <c:majorTickMark val="out"/>
        <c:minorTickMark val="none"/>
        <c:tickLblPos val="nextTo"/>
        <c:crossAx val="392429856"/>
        <c:crosses val="autoZero"/>
        <c:auto val="1"/>
        <c:lblAlgn val="ctr"/>
        <c:lblOffset val="100"/>
        <c:noMultiLvlLbl val="1"/>
      </c:catAx>
      <c:valAx>
        <c:axId val="392429856"/>
        <c:scaling>
          <c:orientation val="minMax"/>
        </c:scaling>
        <c:delete val="0"/>
        <c:axPos val="b"/>
        <c:majorGridlines/>
        <c:numFmt formatCode="General" sourceLinked="1"/>
        <c:majorTickMark val="out"/>
        <c:minorTickMark val="none"/>
        <c:tickLblPos val="nextTo"/>
        <c:crossAx val="392432208"/>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61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161</c:v>
                </c:pt>
              </c:numCache>
            </c:numRef>
          </c:val>
        </c:ser>
        <c:dLbls>
          <c:showLegendKey val="0"/>
          <c:showVal val="0"/>
          <c:showCatName val="0"/>
          <c:showSerName val="0"/>
          <c:showPercent val="0"/>
          <c:showBubbleSize val="0"/>
        </c:dLbls>
        <c:gapWidth val="500"/>
        <c:overlap val="-71"/>
        <c:axId val="392617648"/>
        <c:axId val="392618040"/>
      </c:barChart>
      <c:catAx>
        <c:axId val="392617648"/>
        <c:scaling>
          <c:orientation val="minMax"/>
        </c:scaling>
        <c:delete val="1"/>
        <c:axPos val="b"/>
        <c:numFmt formatCode="General" sourceLinked="1"/>
        <c:majorTickMark val="none"/>
        <c:minorTickMark val="none"/>
        <c:tickLblPos val="nextTo"/>
        <c:crossAx val="392618040"/>
        <c:crosses val="autoZero"/>
        <c:auto val="1"/>
        <c:lblAlgn val="ctr"/>
        <c:lblOffset val="100"/>
        <c:noMultiLvlLbl val="0"/>
      </c:catAx>
      <c:valAx>
        <c:axId val="3926180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26176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72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318</c:v>
                </c:pt>
              </c:numCache>
            </c:numRef>
          </c:val>
        </c:ser>
        <c:dLbls>
          <c:showLegendKey val="0"/>
          <c:showVal val="0"/>
          <c:showCatName val="0"/>
          <c:showSerName val="0"/>
          <c:showPercent val="0"/>
          <c:showBubbleSize val="0"/>
        </c:dLbls>
        <c:gapWidth val="500"/>
        <c:overlap val="-71"/>
        <c:axId val="392214568"/>
        <c:axId val="392215744"/>
      </c:barChart>
      <c:catAx>
        <c:axId val="392214568"/>
        <c:scaling>
          <c:orientation val="minMax"/>
        </c:scaling>
        <c:delete val="1"/>
        <c:axPos val="b"/>
        <c:numFmt formatCode="General" sourceLinked="1"/>
        <c:majorTickMark val="none"/>
        <c:minorTickMark val="none"/>
        <c:tickLblPos val="nextTo"/>
        <c:crossAx val="392215744"/>
        <c:crosses val="autoZero"/>
        <c:auto val="1"/>
        <c:lblAlgn val="ctr"/>
        <c:lblOffset val="100"/>
        <c:noMultiLvlLbl val="0"/>
      </c:catAx>
      <c:valAx>
        <c:axId val="3922157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22145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143</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317</c:v>
                </c:pt>
              </c:numCache>
            </c:numRef>
          </c:val>
        </c:ser>
        <c:dLbls>
          <c:showLegendKey val="0"/>
          <c:showVal val="0"/>
          <c:showCatName val="0"/>
          <c:showSerName val="0"/>
          <c:showPercent val="0"/>
          <c:showBubbleSize val="0"/>
        </c:dLbls>
        <c:gapWidth val="500"/>
        <c:overlap val="-71"/>
        <c:axId val="392215352"/>
        <c:axId val="392214176"/>
      </c:barChart>
      <c:catAx>
        <c:axId val="392215352"/>
        <c:scaling>
          <c:orientation val="minMax"/>
        </c:scaling>
        <c:delete val="1"/>
        <c:axPos val="b"/>
        <c:numFmt formatCode="General" sourceLinked="1"/>
        <c:majorTickMark val="none"/>
        <c:minorTickMark val="none"/>
        <c:tickLblPos val="nextTo"/>
        <c:crossAx val="392214176"/>
        <c:crosses val="autoZero"/>
        <c:auto val="1"/>
        <c:lblAlgn val="ctr"/>
        <c:lblOffset val="100"/>
        <c:noMultiLvlLbl val="0"/>
      </c:catAx>
      <c:valAx>
        <c:axId val="3922141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22153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497</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731</c:v>
                </c:pt>
              </c:numCache>
            </c:numRef>
          </c:val>
        </c:ser>
        <c:dLbls>
          <c:showLegendKey val="0"/>
          <c:showVal val="0"/>
          <c:showCatName val="0"/>
          <c:showSerName val="0"/>
          <c:showPercent val="0"/>
          <c:showBubbleSize val="0"/>
        </c:dLbls>
        <c:gapWidth val="500"/>
        <c:overlap val="-71"/>
        <c:axId val="392214960"/>
        <c:axId val="392217704"/>
      </c:barChart>
      <c:catAx>
        <c:axId val="392214960"/>
        <c:scaling>
          <c:orientation val="minMax"/>
        </c:scaling>
        <c:delete val="1"/>
        <c:axPos val="b"/>
        <c:numFmt formatCode="General" sourceLinked="1"/>
        <c:majorTickMark val="none"/>
        <c:minorTickMark val="none"/>
        <c:tickLblPos val="nextTo"/>
        <c:crossAx val="392217704"/>
        <c:crosses val="autoZero"/>
        <c:auto val="1"/>
        <c:lblAlgn val="ctr"/>
        <c:lblOffset val="100"/>
        <c:noMultiLvlLbl val="0"/>
      </c:catAx>
      <c:valAx>
        <c:axId val="3922177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22149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20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24</c:v>
                </c:pt>
              </c:numCache>
            </c:numRef>
          </c:val>
        </c:ser>
        <c:dLbls>
          <c:showLegendKey val="0"/>
          <c:showVal val="0"/>
          <c:showCatName val="0"/>
          <c:showSerName val="0"/>
          <c:showPercent val="0"/>
          <c:showBubbleSize val="0"/>
        </c:dLbls>
        <c:gapWidth val="500"/>
        <c:overlap val="-71"/>
        <c:axId val="394583904"/>
        <c:axId val="394580768"/>
      </c:barChart>
      <c:catAx>
        <c:axId val="394583904"/>
        <c:scaling>
          <c:orientation val="minMax"/>
        </c:scaling>
        <c:delete val="1"/>
        <c:axPos val="b"/>
        <c:numFmt formatCode="General" sourceLinked="1"/>
        <c:majorTickMark val="none"/>
        <c:minorTickMark val="none"/>
        <c:tickLblPos val="nextTo"/>
        <c:crossAx val="394580768"/>
        <c:crosses val="autoZero"/>
        <c:auto val="1"/>
        <c:lblAlgn val="ctr"/>
        <c:lblOffset val="100"/>
        <c:noMultiLvlLbl val="0"/>
      </c:catAx>
      <c:valAx>
        <c:axId val="3945807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5839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307</c:v>
                </c:pt>
              </c:numCache>
            </c:numRef>
          </c:val>
        </c:ser>
        <c:dLbls>
          <c:showLegendKey val="0"/>
          <c:showVal val="0"/>
          <c:showCatName val="0"/>
          <c:showSerName val="0"/>
          <c:showPercent val="0"/>
          <c:showBubbleSize val="0"/>
        </c:dLbls>
        <c:gapWidth val="500"/>
        <c:overlap val="-71"/>
        <c:axId val="394582728"/>
        <c:axId val="394582336"/>
      </c:barChart>
      <c:catAx>
        <c:axId val="394582728"/>
        <c:scaling>
          <c:orientation val="minMax"/>
        </c:scaling>
        <c:delete val="1"/>
        <c:axPos val="b"/>
        <c:numFmt formatCode="General" sourceLinked="1"/>
        <c:majorTickMark val="none"/>
        <c:minorTickMark val="none"/>
        <c:tickLblPos val="nextTo"/>
        <c:crossAx val="394582336"/>
        <c:crosses val="autoZero"/>
        <c:auto val="1"/>
        <c:lblAlgn val="ctr"/>
        <c:lblOffset val="100"/>
        <c:noMultiLvlLbl val="0"/>
      </c:catAx>
      <c:valAx>
        <c:axId val="3945823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5827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11</c:v>
                </c:pt>
              </c:numCache>
            </c:numRef>
          </c:val>
        </c:ser>
        <c:dLbls>
          <c:showLegendKey val="0"/>
          <c:showVal val="0"/>
          <c:showCatName val="0"/>
          <c:showSerName val="0"/>
          <c:showPercent val="0"/>
          <c:showBubbleSize val="0"/>
        </c:dLbls>
        <c:gapWidth val="500"/>
        <c:overlap val="-71"/>
        <c:axId val="394581160"/>
        <c:axId val="394583512"/>
      </c:barChart>
      <c:catAx>
        <c:axId val="394581160"/>
        <c:scaling>
          <c:orientation val="minMax"/>
        </c:scaling>
        <c:delete val="1"/>
        <c:axPos val="b"/>
        <c:numFmt formatCode="General" sourceLinked="1"/>
        <c:majorTickMark val="none"/>
        <c:minorTickMark val="none"/>
        <c:tickLblPos val="nextTo"/>
        <c:crossAx val="394583512"/>
        <c:crosses val="autoZero"/>
        <c:auto val="1"/>
        <c:lblAlgn val="ctr"/>
        <c:lblOffset val="100"/>
        <c:noMultiLvlLbl val="0"/>
      </c:catAx>
      <c:valAx>
        <c:axId val="3945835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4581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570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1329</c:v>
                </c:pt>
              </c:numCache>
            </c:numRef>
          </c:val>
        </c:ser>
        <c:dLbls>
          <c:showLegendKey val="0"/>
          <c:showVal val="0"/>
          <c:showCatName val="0"/>
          <c:showSerName val="0"/>
          <c:showPercent val="0"/>
          <c:showBubbleSize val="0"/>
        </c:dLbls>
        <c:gapWidth val="500"/>
        <c:overlap val="-71"/>
        <c:axId val="390429408"/>
        <c:axId val="390430976"/>
      </c:barChart>
      <c:catAx>
        <c:axId val="390429408"/>
        <c:scaling>
          <c:orientation val="minMax"/>
        </c:scaling>
        <c:delete val="1"/>
        <c:axPos val="b"/>
        <c:numFmt formatCode="General" sourceLinked="1"/>
        <c:majorTickMark val="none"/>
        <c:minorTickMark val="none"/>
        <c:tickLblPos val="nextTo"/>
        <c:crossAx val="390430976"/>
        <c:crosses val="autoZero"/>
        <c:auto val="1"/>
        <c:lblAlgn val="ctr"/>
        <c:lblOffset val="100"/>
        <c:noMultiLvlLbl val="0"/>
      </c:catAx>
      <c:valAx>
        <c:axId val="3904309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04294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88</c:v>
                </c:pt>
              </c:numCache>
            </c:numRef>
          </c:val>
        </c:ser>
        <c:dLbls>
          <c:showLegendKey val="0"/>
          <c:showVal val="0"/>
          <c:showCatName val="0"/>
          <c:showSerName val="0"/>
          <c:showPercent val="0"/>
          <c:showBubbleSize val="0"/>
        </c:dLbls>
        <c:gapWidth val="500"/>
        <c:overlap val="-71"/>
        <c:axId val="390430192"/>
        <c:axId val="390429800"/>
      </c:barChart>
      <c:catAx>
        <c:axId val="390430192"/>
        <c:scaling>
          <c:orientation val="minMax"/>
        </c:scaling>
        <c:delete val="1"/>
        <c:axPos val="b"/>
        <c:numFmt formatCode="General" sourceLinked="1"/>
        <c:majorTickMark val="none"/>
        <c:minorTickMark val="none"/>
        <c:tickLblPos val="nextTo"/>
        <c:crossAx val="390429800"/>
        <c:crosses val="autoZero"/>
        <c:auto val="1"/>
        <c:lblAlgn val="ctr"/>
        <c:lblOffset val="100"/>
        <c:noMultiLvlLbl val="0"/>
      </c:catAx>
      <c:valAx>
        <c:axId val="3904298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04301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258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902</c:v>
                </c:pt>
              </c:numCache>
            </c:numRef>
          </c:val>
        </c:ser>
        <c:dLbls>
          <c:showLegendKey val="0"/>
          <c:showVal val="0"/>
          <c:showCatName val="0"/>
          <c:showSerName val="0"/>
          <c:showPercent val="0"/>
          <c:showBubbleSize val="0"/>
        </c:dLbls>
        <c:gapWidth val="500"/>
        <c:overlap val="-71"/>
        <c:axId val="307800000"/>
        <c:axId val="307799216"/>
      </c:barChart>
      <c:catAx>
        <c:axId val="307800000"/>
        <c:scaling>
          <c:orientation val="minMax"/>
        </c:scaling>
        <c:delete val="1"/>
        <c:axPos val="b"/>
        <c:numFmt formatCode="General" sourceLinked="1"/>
        <c:majorTickMark val="none"/>
        <c:minorTickMark val="none"/>
        <c:tickLblPos val="nextTo"/>
        <c:crossAx val="307799216"/>
        <c:crosses val="autoZero"/>
        <c:auto val="1"/>
        <c:lblAlgn val="ctr"/>
        <c:lblOffset val="100"/>
        <c:noMultiLvlLbl val="0"/>
      </c:catAx>
      <c:valAx>
        <c:axId val="30779921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078000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52478</c:v>
                </c:pt>
                <c:pt idx="1">
                  <c:v>5296</c:v>
                </c:pt>
                <c:pt idx="2">
                  <c:v>0</c:v>
                </c:pt>
                <c:pt idx="3">
                  <c:v>6677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40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253</c:v>
                </c:pt>
              </c:numCache>
            </c:numRef>
          </c:val>
        </c:ser>
        <c:dLbls>
          <c:showLegendKey val="0"/>
          <c:showVal val="0"/>
          <c:showCatName val="0"/>
          <c:showSerName val="0"/>
          <c:showPercent val="0"/>
          <c:showBubbleSize val="0"/>
        </c:dLbls>
        <c:gapWidth val="500"/>
        <c:overlap val="-71"/>
        <c:axId val="307800784"/>
        <c:axId val="307798824"/>
      </c:barChart>
      <c:catAx>
        <c:axId val="307800784"/>
        <c:scaling>
          <c:orientation val="minMax"/>
        </c:scaling>
        <c:delete val="1"/>
        <c:axPos val="b"/>
        <c:numFmt formatCode="General" sourceLinked="1"/>
        <c:majorTickMark val="none"/>
        <c:minorTickMark val="none"/>
        <c:tickLblPos val="nextTo"/>
        <c:crossAx val="307798824"/>
        <c:crosses val="autoZero"/>
        <c:auto val="1"/>
        <c:lblAlgn val="ctr"/>
        <c:lblOffset val="100"/>
        <c:noMultiLvlLbl val="0"/>
      </c:catAx>
      <c:valAx>
        <c:axId val="3077988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07800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142</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149</c:v>
                </c:pt>
              </c:numCache>
            </c:numRef>
          </c:val>
        </c:ser>
        <c:dLbls>
          <c:showLegendKey val="0"/>
          <c:showVal val="0"/>
          <c:showCatName val="0"/>
          <c:showSerName val="0"/>
          <c:showPercent val="0"/>
          <c:showBubbleSize val="0"/>
        </c:dLbls>
        <c:gapWidth val="500"/>
        <c:overlap val="-71"/>
        <c:axId val="395108552"/>
        <c:axId val="395110120"/>
      </c:barChart>
      <c:catAx>
        <c:axId val="395108552"/>
        <c:scaling>
          <c:orientation val="minMax"/>
        </c:scaling>
        <c:delete val="1"/>
        <c:axPos val="b"/>
        <c:numFmt formatCode="General" sourceLinked="1"/>
        <c:majorTickMark val="none"/>
        <c:minorTickMark val="none"/>
        <c:tickLblPos val="nextTo"/>
        <c:crossAx val="395110120"/>
        <c:crosses val="autoZero"/>
        <c:auto val="1"/>
        <c:lblAlgn val="ctr"/>
        <c:lblOffset val="100"/>
        <c:noMultiLvlLbl val="0"/>
      </c:catAx>
      <c:valAx>
        <c:axId val="3951101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1085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50</c:v>
                </c:pt>
              </c:numCache>
            </c:numRef>
          </c:val>
        </c:ser>
        <c:dLbls>
          <c:showLegendKey val="0"/>
          <c:showVal val="0"/>
          <c:showCatName val="0"/>
          <c:showSerName val="0"/>
          <c:showPercent val="0"/>
          <c:showBubbleSize val="0"/>
        </c:dLbls>
        <c:gapWidth val="500"/>
        <c:overlap val="-71"/>
        <c:axId val="395108160"/>
        <c:axId val="395107768"/>
      </c:barChart>
      <c:catAx>
        <c:axId val="395108160"/>
        <c:scaling>
          <c:orientation val="minMax"/>
        </c:scaling>
        <c:delete val="1"/>
        <c:axPos val="b"/>
        <c:numFmt formatCode="General" sourceLinked="1"/>
        <c:majorTickMark val="none"/>
        <c:minorTickMark val="none"/>
        <c:tickLblPos val="nextTo"/>
        <c:crossAx val="395107768"/>
        <c:crosses val="autoZero"/>
        <c:auto val="1"/>
        <c:lblAlgn val="ctr"/>
        <c:lblOffset val="100"/>
        <c:noMultiLvlLbl val="0"/>
      </c:catAx>
      <c:valAx>
        <c:axId val="3951077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51081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193</c:v>
                </c:pt>
              </c:numCache>
            </c:numRef>
          </c:val>
        </c:ser>
        <c:dLbls>
          <c:showLegendKey val="0"/>
          <c:showVal val="0"/>
          <c:showCatName val="0"/>
          <c:showSerName val="0"/>
          <c:showPercent val="0"/>
          <c:showBubbleSize val="0"/>
        </c:dLbls>
        <c:gapWidth val="500"/>
        <c:overlap val="-71"/>
        <c:axId val="310739296"/>
        <c:axId val="310738512"/>
      </c:barChart>
      <c:catAx>
        <c:axId val="310739296"/>
        <c:scaling>
          <c:orientation val="minMax"/>
        </c:scaling>
        <c:delete val="1"/>
        <c:axPos val="b"/>
        <c:numFmt formatCode="General" sourceLinked="1"/>
        <c:majorTickMark val="none"/>
        <c:minorTickMark val="none"/>
        <c:tickLblPos val="nextTo"/>
        <c:crossAx val="310738512"/>
        <c:crosses val="autoZero"/>
        <c:auto val="1"/>
        <c:lblAlgn val="ctr"/>
        <c:lblOffset val="100"/>
        <c:noMultiLvlLbl val="0"/>
      </c:catAx>
      <c:valAx>
        <c:axId val="3107385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07392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208</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1630</c:v>
                </c:pt>
              </c:numCache>
            </c:numRef>
          </c:val>
        </c:ser>
        <c:dLbls>
          <c:showLegendKey val="0"/>
          <c:showVal val="0"/>
          <c:showCatName val="0"/>
          <c:showSerName val="0"/>
          <c:showPercent val="0"/>
          <c:showBubbleSize val="0"/>
        </c:dLbls>
        <c:gapWidth val="500"/>
        <c:overlap val="-71"/>
        <c:axId val="310741256"/>
        <c:axId val="390845192"/>
      </c:barChart>
      <c:catAx>
        <c:axId val="310741256"/>
        <c:scaling>
          <c:orientation val="minMax"/>
        </c:scaling>
        <c:delete val="1"/>
        <c:axPos val="b"/>
        <c:numFmt formatCode="General" sourceLinked="1"/>
        <c:majorTickMark val="none"/>
        <c:minorTickMark val="none"/>
        <c:tickLblPos val="nextTo"/>
        <c:crossAx val="390845192"/>
        <c:crosses val="autoZero"/>
        <c:auto val="1"/>
        <c:lblAlgn val="ctr"/>
        <c:lblOffset val="100"/>
        <c:noMultiLvlLbl val="0"/>
      </c:catAx>
      <c:valAx>
        <c:axId val="3908451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107412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30</c:v>
                </c:pt>
              </c:numCache>
            </c:numRef>
          </c:val>
        </c:ser>
        <c:dLbls>
          <c:showLegendKey val="0"/>
          <c:showVal val="0"/>
          <c:showCatName val="0"/>
          <c:showSerName val="0"/>
          <c:showPercent val="0"/>
          <c:showBubbleSize val="0"/>
        </c:dLbls>
        <c:gapWidth val="500"/>
        <c:overlap val="-71"/>
        <c:axId val="390844800"/>
        <c:axId val="390843624"/>
      </c:barChart>
      <c:catAx>
        <c:axId val="390844800"/>
        <c:scaling>
          <c:orientation val="minMax"/>
        </c:scaling>
        <c:delete val="1"/>
        <c:axPos val="b"/>
        <c:numFmt formatCode="General" sourceLinked="1"/>
        <c:majorTickMark val="none"/>
        <c:minorTickMark val="none"/>
        <c:tickLblPos val="nextTo"/>
        <c:crossAx val="390843624"/>
        <c:crosses val="autoZero"/>
        <c:auto val="1"/>
        <c:lblAlgn val="ctr"/>
        <c:lblOffset val="100"/>
        <c:noMultiLvlLbl val="0"/>
      </c:catAx>
      <c:valAx>
        <c:axId val="3908436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084480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numCache>
            </c:numRef>
          </c:val>
        </c:ser>
        <c:dLbls>
          <c:showLegendKey val="0"/>
          <c:showVal val="0"/>
          <c:showCatName val="0"/>
          <c:showSerName val="0"/>
          <c:showPercent val="0"/>
          <c:showBubbleSize val="0"/>
        </c:dLbls>
        <c:gapWidth val="500"/>
        <c:overlap val="-71"/>
        <c:axId val="176406112"/>
        <c:axId val="176404544"/>
      </c:barChart>
      <c:catAx>
        <c:axId val="176406112"/>
        <c:scaling>
          <c:orientation val="minMax"/>
        </c:scaling>
        <c:delete val="1"/>
        <c:axPos val="b"/>
        <c:numFmt formatCode="General" sourceLinked="1"/>
        <c:majorTickMark val="none"/>
        <c:minorTickMark val="none"/>
        <c:tickLblPos val="nextTo"/>
        <c:crossAx val="176404544"/>
        <c:crosses val="autoZero"/>
        <c:auto val="1"/>
        <c:lblAlgn val="ctr"/>
        <c:lblOffset val="100"/>
        <c:noMultiLvlLbl val="0"/>
      </c:catAx>
      <c:valAx>
        <c:axId val="1764045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764061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0</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7</c:v>
                </c:pt>
              </c:numCache>
            </c:numRef>
          </c:val>
        </c:ser>
        <c:dLbls>
          <c:showLegendKey val="0"/>
          <c:showVal val="0"/>
          <c:showCatName val="0"/>
          <c:showSerName val="0"/>
          <c:showPercent val="0"/>
          <c:showBubbleSize val="0"/>
        </c:dLbls>
        <c:gapWidth val="500"/>
        <c:overlap val="-71"/>
        <c:axId val="87714344"/>
        <c:axId val="528520656"/>
      </c:barChart>
      <c:catAx>
        <c:axId val="87714344"/>
        <c:scaling>
          <c:orientation val="minMax"/>
        </c:scaling>
        <c:delete val="1"/>
        <c:axPos val="b"/>
        <c:numFmt formatCode="General" sourceLinked="1"/>
        <c:majorTickMark val="none"/>
        <c:minorTickMark val="none"/>
        <c:tickLblPos val="nextTo"/>
        <c:crossAx val="528520656"/>
        <c:crosses val="autoZero"/>
        <c:auto val="1"/>
        <c:lblAlgn val="ctr"/>
        <c:lblOffset val="100"/>
        <c:noMultiLvlLbl val="0"/>
      </c:catAx>
      <c:valAx>
        <c:axId val="528520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877143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[shelter-nfi-cccm_kachin_northern_shan_cluster_analysis_report_march_2018_0.xlsx]NFI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p>
          <a:p>
            <a:pPr>
              <a:defRPr sz="1050">
                <a:solidFill>
                  <a:sysClr val="windowText" lastClr="000000"/>
                </a:solidFill>
              </a:defRPr>
            </a:pPr>
            <a:r>
              <a:rPr lang="en-US" sz="800" b="0">
                <a:solidFill>
                  <a:sysClr val="windowText" lastClr="000000"/>
                </a:solidFill>
              </a:rPr>
              <a:t>(Jan</a:t>
            </a:r>
            <a:r>
              <a:rPr lang="en-US" sz="800" b="0" baseline="0">
                <a:solidFill>
                  <a:sysClr val="windowText" lastClr="000000"/>
                </a:solidFill>
              </a:rPr>
              <a:t>-Mar 2018</a:t>
            </a:r>
            <a:r>
              <a:rPr lang="en-US" sz="800" b="0">
                <a:solidFill>
                  <a:sysClr val="windowText" lastClr="000000"/>
                </a:solidFill>
              </a:rPr>
              <a:t>)</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Summary'!$AX$5:$AX$12</c:f>
              <c:strCache>
                <c:ptCount val="7"/>
                <c:pt idx="0">
                  <c:v>MRCS</c:v>
                </c:pt>
                <c:pt idx="1">
                  <c:v>NRC</c:v>
                </c:pt>
                <c:pt idx="2">
                  <c:v>Shalom</c:v>
                </c:pt>
                <c:pt idx="3">
                  <c:v>RI</c:v>
                </c:pt>
                <c:pt idx="4">
                  <c:v>KMSS_Myitkyina</c:v>
                </c:pt>
                <c:pt idx="5">
                  <c:v>DRC</c:v>
                </c:pt>
                <c:pt idx="6">
                  <c:v>KBC</c:v>
                </c:pt>
              </c:strCache>
            </c:strRef>
          </c:cat>
          <c:val>
            <c:numRef>
              <c:f>'NFI Summary'!$AY$5:$AY$12</c:f>
              <c:numCache>
                <c:formatCode>General</c:formatCode>
                <c:ptCount val="7"/>
                <c:pt idx="0">
                  <c:v>11</c:v>
                </c:pt>
                <c:pt idx="1">
                  <c:v>4</c:v>
                </c:pt>
                <c:pt idx="2">
                  <c:v>4</c:v>
                </c:pt>
                <c:pt idx="3">
                  <c:v>11</c:v>
                </c:pt>
                <c:pt idx="4">
                  <c:v>2</c:v>
                </c:pt>
                <c:pt idx="5">
                  <c:v>33</c:v>
                </c:pt>
                <c:pt idx="6">
                  <c:v>1</c:v>
                </c:pt>
              </c:numCache>
            </c:numRef>
          </c:val>
        </c:ser>
        <c:dLbls>
          <c:showLegendKey val="0"/>
          <c:showVal val="0"/>
          <c:showCatName val="0"/>
          <c:showSerName val="0"/>
          <c:showPercent val="0"/>
          <c:showBubbleSize val="0"/>
        </c:dLbls>
        <c:gapWidth val="219"/>
        <c:overlap val="-27"/>
        <c:axId val="528522224"/>
        <c:axId val="528523008"/>
      </c:barChart>
      <c:catAx>
        <c:axId val="52852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8523008"/>
        <c:crosses val="autoZero"/>
        <c:auto val="1"/>
        <c:lblAlgn val="ctr"/>
        <c:lblOffset val="100"/>
        <c:noMultiLvlLbl val="0"/>
      </c:catAx>
      <c:valAx>
        <c:axId val="528523008"/>
        <c:scaling>
          <c:orientation val="minMax"/>
        </c:scaling>
        <c:delete val="1"/>
        <c:axPos val="l"/>
        <c:numFmt formatCode="General" sourceLinked="1"/>
        <c:majorTickMark val="none"/>
        <c:minorTickMark val="none"/>
        <c:tickLblPos val="nextTo"/>
        <c:crossAx val="528522224"/>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[shelter-nfi-cccm_kachin_northern_shan_cluster_analysis_report_march_2018_0.xlsx]NFI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440</c:v>
                </c:pt>
                <c:pt idx="1">
                  <c:v>1196</c:v>
                </c:pt>
                <c:pt idx="2">
                  <c:v>3440</c:v>
                </c:pt>
                <c:pt idx="3">
                  <c:v>5652</c:v>
                </c:pt>
                <c:pt idx="4">
                  <c:v>2417</c:v>
                </c:pt>
                <c:pt idx="5">
                  <c:v>10374</c:v>
                </c:pt>
                <c:pt idx="6">
                  <c:v>2803</c:v>
                </c:pt>
                <c:pt idx="7">
                  <c:v>1641</c:v>
                </c:pt>
                <c:pt idx="8">
                  <c:v>4592</c:v>
                </c:pt>
                <c:pt idx="9">
                  <c:v>726</c:v>
                </c:pt>
              </c:numCache>
            </c:numRef>
          </c:val>
        </c:ser>
        <c:dLbls>
          <c:dLblPos val="outEnd"/>
          <c:showLegendKey val="0"/>
          <c:showVal val="1"/>
          <c:showCatName val="0"/>
          <c:showSerName val="0"/>
          <c:showPercent val="0"/>
          <c:showBubbleSize val="0"/>
        </c:dLbls>
        <c:gapWidth val="219"/>
        <c:overlap val="-27"/>
        <c:axId val="528523792"/>
        <c:axId val="528524184"/>
      </c:barChart>
      <c:catAx>
        <c:axId val="52852379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8524184"/>
        <c:crosses val="autoZero"/>
        <c:auto val="1"/>
        <c:lblAlgn val="ctr"/>
        <c:lblOffset val="100"/>
        <c:noMultiLvlLbl val="0"/>
      </c:catAx>
      <c:valAx>
        <c:axId val="528524184"/>
        <c:scaling>
          <c:orientation val="minMax"/>
        </c:scaling>
        <c:delete val="1"/>
        <c:axPos val="l"/>
        <c:numFmt formatCode="General" sourceLinked="1"/>
        <c:majorTickMark val="none"/>
        <c:minorTickMark val="none"/>
        <c:tickLblPos val="nextTo"/>
        <c:crossAx val="528523792"/>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37521</c:v>
                </c:pt>
                <c:pt idx="1">
                  <c:v>392</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[shelter-nfi-cccm_kachin_northern_shan_cluster_analysis_report_march_2018_0.xlsx]NFI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Summary'!$AU$19:$AU$41</c:f>
              <c:strCache>
                <c:ptCount val="22"/>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Mohnyin</c:v>
                </c:pt>
                <c:pt idx="13">
                  <c:v>Muse </c:v>
                </c:pt>
                <c:pt idx="14">
                  <c:v>Namhkam</c:v>
                </c:pt>
                <c:pt idx="15">
                  <c:v>Kyaukme</c:v>
                </c:pt>
                <c:pt idx="16">
                  <c:v>Momauk</c:v>
                </c:pt>
                <c:pt idx="17">
                  <c:v>Moegaung</c:v>
                </c:pt>
                <c:pt idx="18">
                  <c:v>Mogaung,Namatee</c:v>
                </c:pt>
                <c:pt idx="19">
                  <c:v>InJang Yang</c:v>
                </c:pt>
                <c:pt idx="20">
                  <c:v>Kut Kai</c:v>
                </c:pt>
                <c:pt idx="21">
                  <c:v>Namhkan</c:v>
                </c:pt>
              </c:strCache>
            </c:strRef>
          </c:cat>
          <c:val>
            <c:numRef>
              <c:f>'NFI Summary'!$AV$19:$AV$41</c:f>
              <c:numCache>
                <c:formatCode>General</c:formatCode>
                <c:ptCount val="22"/>
                <c:pt idx="0">
                  <c:v>21</c:v>
                </c:pt>
                <c:pt idx="1">
                  <c:v>8</c:v>
                </c:pt>
                <c:pt idx="2">
                  <c:v>5</c:v>
                </c:pt>
                <c:pt idx="3">
                  <c:v>3</c:v>
                </c:pt>
                <c:pt idx="4">
                  <c:v>5</c:v>
                </c:pt>
                <c:pt idx="5">
                  <c:v>31</c:v>
                </c:pt>
                <c:pt idx="6">
                  <c:v>52</c:v>
                </c:pt>
                <c:pt idx="7">
                  <c:v>33</c:v>
                </c:pt>
                <c:pt idx="8">
                  <c:v>8</c:v>
                </c:pt>
                <c:pt idx="9">
                  <c:v>2</c:v>
                </c:pt>
                <c:pt idx="10">
                  <c:v>6</c:v>
                </c:pt>
                <c:pt idx="11">
                  <c:v>39</c:v>
                </c:pt>
                <c:pt idx="12">
                  <c:v>3</c:v>
                </c:pt>
                <c:pt idx="13">
                  <c:v>2</c:v>
                </c:pt>
                <c:pt idx="14">
                  <c:v>13</c:v>
                </c:pt>
                <c:pt idx="15">
                  <c:v>8</c:v>
                </c:pt>
                <c:pt idx="16">
                  <c:v>17</c:v>
                </c:pt>
                <c:pt idx="17">
                  <c:v>4</c:v>
                </c:pt>
                <c:pt idx="18">
                  <c:v>11</c:v>
                </c:pt>
                <c:pt idx="19">
                  <c:v>1</c:v>
                </c:pt>
                <c:pt idx="20">
                  <c:v>1</c:v>
                </c:pt>
                <c:pt idx="21">
                  <c:v>2</c:v>
                </c:pt>
              </c:numCache>
            </c:numRef>
          </c:val>
        </c:ser>
        <c:dLbls>
          <c:dLblPos val="outEnd"/>
          <c:showLegendKey val="0"/>
          <c:showVal val="1"/>
          <c:showCatName val="0"/>
          <c:showSerName val="0"/>
          <c:showPercent val="0"/>
          <c:showBubbleSize val="0"/>
        </c:dLbls>
        <c:gapWidth val="219"/>
        <c:overlap val="-27"/>
        <c:axId val="528524968"/>
        <c:axId val="528525360"/>
      </c:barChart>
      <c:catAx>
        <c:axId val="52852496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528525360"/>
        <c:crosses val="autoZero"/>
        <c:auto val="1"/>
        <c:lblAlgn val="ctr"/>
        <c:lblOffset val="100"/>
        <c:noMultiLvlLbl val="0"/>
      </c:catAx>
      <c:valAx>
        <c:axId val="528525360"/>
        <c:scaling>
          <c:orientation val="minMax"/>
        </c:scaling>
        <c:delete val="1"/>
        <c:axPos val="l"/>
        <c:numFmt formatCode="General" sourceLinked="1"/>
        <c:majorTickMark val="none"/>
        <c:minorTickMark val="none"/>
        <c:tickLblPos val="nextTo"/>
        <c:crossAx val="52852496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94036</c:v>
                </c:pt>
                <c:pt idx="1">
                  <c:v>9200</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38785</c:v>
                </c:pt>
                <c:pt idx="1">
                  <c:v>64451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21</c:v>
                </c:pt>
                <c:pt idx="3">
                  <c:v>0</c:v>
                </c:pt>
                <c:pt idx="4">
                  <c:v>0</c:v>
                </c:pt>
                <c:pt idx="5">
                  <c:v>0</c:v>
                </c:pt>
                <c:pt idx="6">
                  <c:v>11</c:v>
                </c:pt>
                <c:pt idx="7">
                  <c:v>8</c:v>
                </c:pt>
                <c:pt idx="8">
                  <c:v>4</c:v>
                </c:pt>
                <c:pt idx="9">
                  <c:v>15</c:v>
                </c:pt>
                <c:pt idx="10">
                  <c:v>25</c:v>
                </c:pt>
                <c:pt idx="11">
                  <c:v>3</c:v>
                </c:pt>
                <c:pt idx="12">
                  <c:v>2</c:v>
                </c:pt>
                <c:pt idx="13">
                  <c:v>3</c:v>
                </c:pt>
                <c:pt idx="14">
                  <c:v>4</c:v>
                </c:pt>
                <c:pt idx="15">
                  <c:v>24</c:v>
                </c:pt>
                <c:pt idx="16">
                  <c:v>2</c:v>
                </c:pt>
                <c:pt idx="17">
                  <c:v>14</c:v>
                </c:pt>
                <c:pt idx="18">
                  <c:v>3</c:v>
                </c:pt>
                <c:pt idx="19">
                  <c:v>3</c:v>
                </c:pt>
                <c:pt idx="20">
                  <c:v>6</c:v>
                </c:pt>
                <c:pt idx="21">
                  <c:v>1</c:v>
                </c:pt>
                <c:pt idx="22">
                  <c:v>4</c:v>
                </c:pt>
              </c:numCache>
            </c:numRef>
          </c:val>
        </c:ser>
        <c:dLbls>
          <c:showLegendKey val="0"/>
          <c:showVal val="0"/>
          <c:showCatName val="0"/>
          <c:showSerName val="0"/>
          <c:showPercent val="0"/>
          <c:showBubbleSize val="0"/>
        </c:dLbls>
        <c:gapWidth val="219"/>
        <c:axId val="395282152"/>
        <c:axId val="395275880"/>
      </c:barChart>
      <c:catAx>
        <c:axId val="395282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95275880"/>
        <c:crosses val="autoZero"/>
        <c:auto val="1"/>
        <c:lblAlgn val="ctr"/>
        <c:lblOffset val="100"/>
        <c:noMultiLvlLbl val="0"/>
      </c:catAx>
      <c:valAx>
        <c:axId val="395275880"/>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282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94036</c:v>
                </c:pt>
                <c:pt idx="1">
                  <c:v>9200</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8307</c:v>
                </c:pt>
                <c:pt idx="1">
                  <c:v>2471</c:v>
                </c:pt>
                <c:pt idx="2">
                  <c:v>3587</c:v>
                </c:pt>
                <c:pt idx="3">
                  <c:v>13390</c:v>
                </c:pt>
                <c:pt idx="4">
                  <c:v>1465</c:v>
                </c:pt>
                <c:pt idx="5">
                  <c:v>354</c:v>
                </c:pt>
                <c:pt idx="6">
                  <c:v>24925</c:v>
                </c:pt>
                <c:pt idx="7">
                  <c:v>11250</c:v>
                </c:pt>
                <c:pt idx="8">
                  <c:v>412</c:v>
                </c:pt>
                <c:pt idx="9">
                  <c:v>529</c:v>
                </c:pt>
                <c:pt idx="10">
                  <c:v>1143</c:v>
                </c:pt>
                <c:pt idx="11">
                  <c:v>915</c:v>
                </c:pt>
                <c:pt idx="12">
                  <c:v>25288</c:v>
                </c:pt>
                <c:pt idx="13">
                  <c:v>559</c:v>
                </c:pt>
                <c:pt idx="14">
                  <c:v>4193</c:v>
                </c:pt>
                <c:pt idx="15">
                  <c:v>541</c:v>
                </c:pt>
                <c:pt idx="16">
                  <c:v>1053</c:v>
                </c:pt>
                <c:pt idx="17">
                  <c:v>1977</c:v>
                </c:pt>
                <c:pt idx="18">
                  <c:v>120</c:v>
                </c:pt>
                <c:pt idx="19">
                  <c:v>757</c:v>
                </c:pt>
              </c:numCache>
            </c:numRef>
          </c:val>
        </c:ser>
        <c:dLbls>
          <c:showLegendKey val="0"/>
          <c:showVal val="0"/>
          <c:showCatName val="0"/>
          <c:showSerName val="0"/>
          <c:showPercent val="0"/>
          <c:showBubbleSize val="0"/>
        </c:dLbls>
        <c:gapWidth val="100"/>
        <c:overlap val="-24"/>
        <c:axId val="393985656"/>
        <c:axId val="393986832"/>
      </c:barChart>
      <c:catAx>
        <c:axId val="39398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986832"/>
        <c:crosses val="autoZero"/>
        <c:auto val="1"/>
        <c:lblAlgn val="ctr"/>
        <c:lblOffset val="100"/>
        <c:noMultiLvlLbl val="0"/>
      </c:catAx>
      <c:valAx>
        <c:axId val="393986832"/>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985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211</c:v>
                </c:pt>
              </c:numCache>
            </c:numRef>
          </c:val>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413</c:v>
                </c:pt>
              </c:numCache>
            </c:numRef>
          </c:val>
        </c:ser>
        <c:dLbls>
          <c:showLegendKey val="0"/>
          <c:showVal val="0"/>
          <c:showCatName val="0"/>
          <c:showSerName val="0"/>
          <c:showPercent val="0"/>
          <c:showBubbleSize val="0"/>
        </c:dLbls>
        <c:gapWidth val="500"/>
        <c:overlap val="-71"/>
        <c:axId val="392620784"/>
        <c:axId val="392620392"/>
      </c:barChart>
      <c:catAx>
        <c:axId val="392620784"/>
        <c:scaling>
          <c:orientation val="minMax"/>
        </c:scaling>
        <c:delete val="1"/>
        <c:axPos val="b"/>
        <c:majorTickMark val="none"/>
        <c:minorTickMark val="none"/>
        <c:tickLblPos val="nextTo"/>
        <c:crossAx val="392620392"/>
        <c:crosses val="autoZero"/>
        <c:auto val="1"/>
        <c:lblAlgn val="ctr"/>
        <c:lblOffset val="100"/>
        <c:noMultiLvlLbl val="0"/>
      </c:catAx>
      <c:valAx>
        <c:axId val="39262039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2620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8.xml"/><Relationship Id="rId6" Type="http://schemas.openxmlformats.org/officeDocument/2006/relationships/image" Target="../media/image18.jpeg"/><Relationship Id="rId11" Type="http://schemas.openxmlformats.org/officeDocument/2006/relationships/chart" Target="../charts/chart30.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771525</xdr:colOff>
      <xdr:row>2</xdr:row>
      <xdr:rowOff>211455</xdr:rowOff>
    </xdr:from>
    <xdr:to>
      <xdr:col>8</xdr:col>
      <xdr:colOff>64770</xdr:colOff>
      <xdr:row>2</xdr:row>
      <xdr:rowOff>333375</xdr:rowOff>
    </xdr:to>
    <xdr:sp macro="" textlink="">
      <xdr:nvSpPr>
        <xdr:cNvPr id="2" name="Rectangle 1"/>
        <xdr:cNvSpPr/>
      </xdr:nvSpPr>
      <xdr:spPr>
        <a:xfrm>
          <a:off x="5476875" y="506730"/>
          <a:ext cx="160020" cy="12192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20071080" y="259080"/>
          <a:ext cx="2225040" cy="35052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18</xdr:col>
      <xdr:colOff>305350</xdr:colOff>
      <xdr:row>50</xdr:row>
      <xdr:rowOff>10866</xdr:rowOff>
    </xdr:to>
    <xdr:pic>
      <xdr:nvPicPr>
        <xdr:cNvPr id="4" name="Picture 3"/>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616337" y="190228"/>
          <a:ext cx="3381919" cy="388530"/>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319850</xdr:colOff>
      <xdr:row>39</xdr:row>
      <xdr:rowOff>15903</xdr:rowOff>
    </xdr:to>
    <xdr:pic>
      <xdr:nvPicPr>
        <xdr:cNvPr id="43" name="Picture 4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94094</xdr:rowOff>
    </xdr:to>
    <xdr:pic>
      <xdr:nvPicPr>
        <xdr:cNvPr id="45" name="Picture 4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784114</xdr:colOff>
      <xdr:row>54</xdr:row>
      <xdr:rowOff>38099</xdr:rowOff>
    </xdr:to>
    <xdr:pic>
      <xdr:nvPicPr>
        <xdr:cNvPr id="7" name="Picture 6"/>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847732</xdr:colOff>
      <xdr:row>9</xdr:row>
      <xdr:rowOff>2546</xdr:rowOff>
    </xdr:to>
    <xdr:pic>
      <xdr:nvPicPr>
        <xdr:cNvPr id="55" name="Picture 5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238230</xdr:colOff>
      <xdr:row>13</xdr:row>
      <xdr:rowOff>144773</xdr:rowOff>
    </xdr:to>
    <xdr:pic>
      <xdr:nvPicPr>
        <xdr:cNvPr id="56" name="Picture 5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655637</xdr:colOff>
      <xdr:row>11</xdr:row>
      <xdr:rowOff>18049</xdr:rowOff>
    </xdr:to>
    <xdr:pic>
      <xdr:nvPicPr>
        <xdr:cNvPr id="57" name="Picture 5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206769</xdr:colOff>
      <xdr:row>39</xdr:row>
      <xdr:rowOff>16962</xdr:rowOff>
    </xdr:to>
    <xdr:pic>
      <xdr:nvPicPr>
        <xdr:cNvPr id="60" name="Picture 5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xdr:cNvGrpSpPr/>
      </xdr:nvGrpSpPr>
      <xdr:grpSpPr>
        <a:xfrm>
          <a:off x="3269684" y="10802554"/>
          <a:ext cx="6786399" cy="666705"/>
          <a:chOff x="3129445" y="7519775"/>
          <a:chExt cx="6663987" cy="690652"/>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129445" y="7544530"/>
            <a:ext cx="5671700" cy="665897"/>
            <a:chOff x="3267987" y="7700393"/>
            <a:chExt cx="5671700" cy="665898"/>
          </a:xfrm>
        </xdr:grpSpPr>
        <xdr:sp macro="" textlink="">
          <xdr:nvSpPr>
            <xdr:cNvPr id="68" name="TextBox 67"/>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338888</xdr:colOff>
      <xdr:row>38</xdr:row>
      <xdr:rowOff>178594</xdr:rowOff>
    </xdr:to>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161232</xdr:rowOff>
    </xdr:to>
    <xdr:pic>
      <xdr:nvPicPr>
        <xdr:cNvPr id="48" name="Picture 4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681895</xdr:colOff>
      <xdr:row>37</xdr:row>
      <xdr:rowOff>136725</xdr:rowOff>
    </xdr:from>
    <xdr:to>
      <xdr:col>12</xdr:col>
      <xdr:colOff>152577</xdr:colOff>
      <xdr:row>40</xdr:row>
      <xdr:rowOff>32631</xdr:rowOff>
    </xdr:to>
    <xdr:sp macro="" textlink="">
      <xdr:nvSpPr>
        <xdr:cNvPr id="59" name="Oval 58"/>
        <xdr:cNvSpPr/>
      </xdr:nvSpPr>
      <xdr:spPr>
        <a:xfrm>
          <a:off x="6056716" y="7722707"/>
          <a:ext cx="457200" cy="45720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265176</xdr:colOff>
      <xdr:row>35</xdr:row>
      <xdr:rowOff>153735</xdr:rowOff>
    </xdr:from>
    <xdr:to>
      <xdr:col>14</xdr:col>
      <xdr:colOff>40100</xdr:colOff>
      <xdr:row>38</xdr:row>
      <xdr:rowOff>22208</xdr:rowOff>
    </xdr:to>
    <xdr:sp macro="" textlink="">
      <xdr:nvSpPr>
        <xdr:cNvPr id="62" name="Oval 61"/>
        <xdr:cNvSpPr/>
      </xdr:nvSpPr>
      <xdr:spPr>
        <a:xfrm>
          <a:off x="7119774" y="7212440"/>
          <a:ext cx="429768" cy="42976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27050</xdr:colOff>
      <xdr:row>45</xdr:row>
      <xdr:rowOff>153734</xdr:rowOff>
    </xdr:from>
    <xdr:to>
      <xdr:col>13</xdr:col>
      <xdr:colOff>411098</xdr:colOff>
      <xdr:row>48</xdr:row>
      <xdr:rowOff>2001</xdr:rowOff>
    </xdr:to>
    <xdr:sp macro="" textlink="">
      <xdr:nvSpPr>
        <xdr:cNvPr id="70" name="Oval 69"/>
        <xdr:cNvSpPr/>
      </xdr:nvSpPr>
      <xdr:spPr>
        <a:xfrm>
          <a:off x="6881648" y="9083422"/>
          <a:ext cx="384048" cy="3840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95088</xdr:colOff>
      <xdr:row>42</xdr:row>
      <xdr:rowOff>77194</xdr:rowOff>
    </xdr:from>
    <xdr:to>
      <xdr:col>12</xdr:col>
      <xdr:colOff>442560</xdr:colOff>
      <xdr:row>44</xdr:row>
      <xdr:rowOff>50470</xdr:rowOff>
    </xdr:to>
    <xdr:sp macro="" textlink="">
      <xdr:nvSpPr>
        <xdr:cNvPr id="71" name="Oval 70"/>
        <xdr:cNvSpPr/>
      </xdr:nvSpPr>
      <xdr:spPr>
        <a:xfrm>
          <a:off x="6456427" y="8445587"/>
          <a:ext cx="347472" cy="3474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452275</xdr:colOff>
      <xdr:row>39</xdr:row>
      <xdr:rowOff>179260</xdr:rowOff>
    </xdr:from>
    <xdr:to>
      <xdr:col>13</xdr:col>
      <xdr:colOff>215048</xdr:colOff>
      <xdr:row>41</xdr:row>
      <xdr:rowOff>61095</xdr:rowOff>
    </xdr:to>
    <xdr:sp macro="" textlink="">
      <xdr:nvSpPr>
        <xdr:cNvPr id="72" name="Oval 71"/>
        <xdr:cNvSpPr/>
      </xdr:nvSpPr>
      <xdr:spPr>
        <a:xfrm>
          <a:off x="6813614" y="7986358"/>
          <a:ext cx="256032" cy="25603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41</xdr:row>
      <xdr:rowOff>128238</xdr:rowOff>
    </xdr:from>
    <xdr:to>
      <xdr:col>11</xdr:col>
      <xdr:colOff>771226</xdr:colOff>
      <xdr:row>42</xdr:row>
      <xdr:rowOff>124020</xdr:rowOff>
    </xdr:to>
    <xdr:sp macro="" textlink="">
      <xdr:nvSpPr>
        <xdr:cNvPr id="73" name="Oval 72"/>
        <xdr:cNvSpPr/>
      </xdr:nvSpPr>
      <xdr:spPr>
        <a:xfrm>
          <a:off x="5963167" y="8462613"/>
          <a:ext cx="182880" cy="18288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197141</xdr:colOff>
      <xdr:row>28</xdr:row>
      <xdr:rowOff>43193</xdr:rowOff>
    </xdr:from>
    <xdr:to>
      <xdr:col>15</xdr:col>
      <xdr:colOff>352589</xdr:colOff>
      <xdr:row>29</xdr:row>
      <xdr:rowOff>37056</xdr:rowOff>
    </xdr:to>
    <xdr:sp macro="" textlink="">
      <xdr:nvSpPr>
        <xdr:cNvPr id="74" name="Oval 73"/>
        <xdr:cNvSpPr/>
      </xdr:nvSpPr>
      <xdr:spPr>
        <a:xfrm>
          <a:off x="8318904" y="5868751"/>
          <a:ext cx="155448" cy="15544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51025</xdr:colOff>
      <xdr:row>44</xdr:row>
      <xdr:rowOff>170755</xdr:rowOff>
    </xdr:from>
    <xdr:to>
      <xdr:col>3</xdr:col>
      <xdr:colOff>308596</xdr:colOff>
      <xdr:row>46</xdr:row>
      <xdr:rowOff>52590</xdr:rowOff>
    </xdr:to>
    <xdr:sp macro="" textlink="">
      <xdr:nvSpPr>
        <xdr:cNvPr id="79" name="Oval 78"/>
        <xdr:cNvSpPr/>
      </xdr:nvSpPr>
      <xdr:spPr>
        <a:xfrm>
          <a:off x="1214436" y="8879326"/>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732241</xdr:colOff>
      <xdr:row>50</xdr:row>
      <xdr:rowOff>17000</xdr:rowOff>
    </xdr:from>
    <xdr:to>
      <xdr:col>3</xdr:col>
      <xdr:colOff>13647</xdr:colOff>
      <xdr:row>51</xdr:row>
      <xdr:rowOff>38295</xdr:rowOff>
    </xdr:to>
    <xdr:sp macro="" textlink="">
      <xdr:nvSpPr>
        <xdr:cNvPr id="80" name="Oval 79"/>
        <xdr:cNvSpPr/>
      </xdr:nvSpPr>
      <xdr:spPr>
        <a:xfrm>
          <a:off x="1011187" y="9766518"/>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297832</xdr:colOff>
      <xdr:row>43</xdr:row>
      <xdr:rowOff>75851</xdr:rowOff>
    </xdr:from>
    <xdr:to>
      <xdr:col>3</xdr:col>
      <xdr:colOff>517288</xdr:colOff>
      <xdr:row>44</xdr:row>
      <xdr:rowOff>108208</xdr:rowOff>
    </xdr:to>
    <xdr:sp macro="" textlink="">
      <xdr:nvSpPr>
        <xdr:cNvPr id="81" name="Oval 80"/>
        <xdr:cNvSpPr/>
      </xdr:nvSpPr>
      <xdr:spPr>
        <a:xfrm>
          <a:off x="1461243" y="8600726"/>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1538</xdr:colOff>
      <xdr:row>43</xdr:row>
      <xdr:rowOff>119733</xdr:rowOff>
    </xdr:from>
    <xdr:to>
      <xdr:col>5</xdr:col>
      <xdr:colOff>138698</xdr:colOff>
      <xdr:row>44</xdr:row>
      <xdr:rowOff>69794</xdr:rowOff>
    </xdr:to>
    <xdr:sp macro="" textlink="">
      <xdr:nvSpPr>
        <xdr:cNvPr id="82" name="Oval 81"/>
        <xdr:cNvSpPr/>
      </xdr:nvSpPr>
      <xdr:spPr>
        <a:xfrm>
          <a:off x="2355574" y="8644608"/>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34018</xdr:rowOff>
    </xdr:to>
    <xdr:pic>
      <xdr:nvPicPr>
        <xdr:cNvPr id="6" name="Picture 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36323</xdr:rowOff>
    </xdr:to>
    <xdr:pic>
      <xdr:nvPicPr>
        <xdr:cNvPr id="11" name="Picture 1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236220</xdr:rowOff>
        </xdr:from>
        <xdr:to>
          <xdr:col>20</xdr:col>
          <xdr:colOff>236220</xdr:colOff>
          <xdr:row>3</xdr:row>
          <xdr:rowOff>441960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3444497" y="374598"/>
          <a:ext cx="53935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16171"/>
          <a:ext cx="3496836" cy="9673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103,236 </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169</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882407" y="177800"/>
          <a:ext cx="4399157" cy="554318"/>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xdr:cNvGrpSpPr/>
      </xdr:nvGrpSpPr>
      <xdr:grpSpPr>
        <a:xfrm>
          <a:off x="5763683" y="8667750"/>
          <a:ext cx="6639783" cy="663834"/>
          <a:chOff x="3325099" y="7519775"/>
          <a:chExt cx="6468333" cy="671988"/>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47233"/>
            <a:chOff x="3463641" y="7700393"/>
            <a:chExt cx="5671700" cy="647234"/>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137160</xdr:rowOff>
        </xdr:from>
        <xdr:to>
          <xdr:col>18</xdr:col>
          <xdr:colOff>1417320</xdr:colOff>
          <xdr:row>5</xdr:row>
          <xdr:rowOff>45720</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103,236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169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3,587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559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21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24,925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11,250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1,977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25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529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1,143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25,288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6126480" y="415963"/>
          <a:ext cx="3642360" cy="4755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6001423" y="134471"/>
          <a:ext cx="440866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77932</xdr:colOff>
      <xdr:row>8</xdr:row>
      <xdr:rowOff>17318</xdr:rowOff>
    </xdr:from>
    <xdr:to>
      <xdr:col>14</xdr:col>
      <xdr:colOff>1024309</xdr:colOff>
      <xdr:row>39</xdr:row>
      <xdr:rowOff>69817</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1159" y="1437409"/>
          <a:ext cx="4652468" cy="5508259"/>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939915" y="215681"/>
          <a:ext cx="3085514" cy="443009"/>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32%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51543646" y="6656467"/>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50514704" y="6658708"/>
          <a:ext cx="1026209"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4781276" y="7121769"/>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xdr:cNvGrpSpPr/>
      </xdr:nvGrpSpPr>
      <xdr:grpSpPr>
        <a:xfrm>
          <a:off x="2867758" y="7451967"/>
          <a:ext cx="7189710" cy="687708"/>
          <a:chOff x="2784231" y="7435848"/>
          <a:chExt cx="7013864" cy="695035"/>
        </a:xfrm>
      </xdr:grpSpPr>
      <xdr:sp macro="" textlink="">
        <xdr:nvSpPr>
          <xdr:cNvPr id="50" name="TextBox 49"/>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2784231" y="7460764"/>
            <a:ext cx="6311179" cy="670119"/>
            <a:chOff x="3463641" y="7700393"/>
            <a:chExt cx="5820302" cy="665671"/>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872740" y="68580"/>
          <a:ext cx="360235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6293063" y="182880"/>
          <a:ext cx="534267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NHCR\AppData\Local\Microsoft\Windows\Temporary%20Internet%20Files\Content.Outlook\6XTI36T1\Cluster%20reporting%20tool_fina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oe Paing" refreshedDate="43241.566486805554" createdVersion="4" refreshedVersion="5" minRefreshableVersion="3" recordCount="167">
  <cacheSource type="worksheet">
    <worksheetSource name="Table10"/>
  </cacheSource>
  <cacheFields count="14">
    <cacheField name="Pcode" numFmtId="0">
      <sharedItems/>
    </cacheField>
    <cacheField name="Priority" numFmtId="0">
      <sharedItems count="5">
        <e v="#REF!"/>
        <s v="P1" u="1"/>
        <s v="P3" u="1"/>
        <s v="P2" u="1"/>
        <s v="P4" u="1"/>
      </sharedItems>
    </cacheField>
    <cacheField name="Camp" numFmtId="0">
      <sharedItems/>
    </cacheField>
    <cacheField name="Township" numFmtId="0">
      <sharedItems/>
    </cacheField>
    <cacheField name="HH" numFmtId="0">
      <sharedItems containsMixedTypes="1" containsNumber="1" containsInteger="1" minValue="0" maxValue="1497"/>
    </cacheField>
    <cacheField name="Ind" numFmtId="0">
      <sharedItems containsMixedTypes="1" containsNumber="1" containsInteger="1" minValue="0" maxValue="8461"/>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94"/>
    </cacheField>
    <cacheField name="WC_Child_Gap" numFmtId="0">
      <sharedItems containsMixedTypes="1" containsNumber="1" containsInteger="1" minValue="0" maxValue="1497"/>
    </cacheField>
    <cacheField name="WI_Other_Gap" numFmtId="0">
      <sharedItems containsMixedTypes="1" containsNumber="1" containsInteger="1" minValue="0" maxValue="1497"/>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Deepika Bhardwaj" refreshedDate="43242.469450462966" missingItemsLimit="0" createdVersion="4" refreshedVersion="5" minRefreshableVersion="3" recordCount="275">
  <cacheSource type="worksheet">
    <worksheetSource name="Table_NFI"/>
  </cacheSource>
  <cacheFields count="46">
    <cacheField name="Distribution Date" numFmtId="169">
      <sharedItems containsSemiMixedTypes="0" containsNonDate="0" containsDate="1" containsString="0" minDate="2017-01-02T00:00:00" maxDate="2018-05-09T00:00:00" count="101">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5-04T00:00:00"/>
        <d v="2018-04-24T00:00:00"/>
        <d v="2018-05-05T00:00:00"/>
        <d v="2018-05-08T00:00:00"/>
      </sharedItems>
    </cacheField>
    <cacheField name="Distribution Month/Year (Auto-calculated)" numFmtId="169">
      <sharedItems containsBlank="1" count="18">
        <s v="1/2017"/>
        <s v="2/2017"/>
        <s v="3/2017"/>
        <s v="4/2017"/>
        <s v="5/2017"/>
        <s v="6/2017"/>
        <s v="7/2017"/>
        <s v="8/2017"/>
        <s v="9/2017"/>
        <s v="10/2017"/>
        <s v="11/2017"/>
        <s v="12/2017"/>
        <s v="1/2018"/>
        <s v="2/2018"/>
        <s v="3/2018"/>
        <m/>
        <s v="4/2018"/>
        <s v="5/2018"/>
      </sharedItems>
    </cacheField>
    <cacheField name="Agency" numFmtId="0">
      <sharedItems count="17">
        <s v="UNHCR"/>
        <s v="Solidarites"/>
        <s v="NRC"/>
        <s v="Metta"/>
        <s v="MRCS"/>
        <s v="Shalom"/>
        <s v="KMSS-Myitkyina"/>
        <s v="RI"/>
        <s v="IRC"/>
        <s v="KMSS-Lashio"/>
        <s v="SCI"/>
        <s v="KMSS_Myitkyina"/>
        <s v="DRC"/>
        <s v="KBC"/>
        <s v="WVI"/>
        <s v="Plan Int."/>
        <s v="ICRC"/>
      </sharedItems>
    </cacheField>
    <cacheField name="Implementing Partner" numFmtId="0">
      <sharedItems containsBlank="1"/>
    </cacheField>
    <cacheField name="State" numFmtId="0">
      <sharedItems/>
    </cacheField>
    <cacheField name="Township" numFmtId="0">
      <sharedItems count="22">
        <s v="Waingmaw"/>
        <s v="Myitkyina"/>
        <s v="Mansi"/>
        <s v="Momauk"/>
        <s v="Shwegu"/>
        <s v="Bhamo"/>
        <s v="Hpakant"/>
        <s v="Chipwi"/>
        <s v="Sumprabum"/>
        <s v="Kutkai"/>
        <s v="Hseni"/>
        <s v="Namtu"/>
        <s v="Tanai"/>
        <s v="Muse "/>
        <s v="Namhkam"/>
        <s v="Mohnyin"/>
        <s v="Kyaukme"/>
        <s v="Moegaung"/>
        <s v="Mogaung,Namatee"/>
        <s v="InJang Yang"/>
        <s v="Kut Kai"/>
        <s v="Namhkan"/>
      </sharedItems>
    </cacheField>
    <cacheField name="Location" numFmtId="0">
      <sharedItems/>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1">
      <sharedItems containsString="0" containsBlank="1" containsNumber="1" containsInteger="1" minValue="7" maxValue="10"/>
    </cacheField>
    <cacheField name="NFI Core Kit" numFmtId="0">
      <sharedItems containsString="0" containsBlank="1" containsNumber="1" containsInteger="1" minValue="1" maxValue="141"/>
    </cacheField>
    <cacheField name="Sanitary Kit" numFmtId="0">
      <sharedItems containsString="0" containsBlank="1" containsNumber="1" containsInteger="1" minValue="1" maxValue="657"/>
    </cacheField>
    <cacheField name="Mosquito net" numFmtId="0">
      <sharedItems containsBlank="1" containsMixedTypes="1" containsNumber="1" containsInteger="1" minValue="2"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2" maxValue="3170"/>
    </cacheField>
    <cacheField name="Kitchen Set" numFmtId="0">
      <sharedItems containsString="0" containsBlank="1" containsNumber="1" containsInteger="1" minValue="1" maxValue="251"/>
    </cacheField>
    <cacheField name="Clothes Kit" numFmtId="1">
      <sharedItems containsString="0" containsBlank="1" containsNumber="1" containsInteger="1" minValue="60"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3" maxValue="387"/>
    </cacheField>
    <cacheField name="Winter Clothes Adult" numFmtId="0">
      <sharedItems containsString="0" containsBlank="1" containsNumber="1" containsInteger="1" minValue="1" maxValue="540"/>
    </cacheField>
    <cacheField name="Winter Clothes Children" numFmtId="1">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508"/>
    </cacheField>
    <cacheField name="Jerry Can" numFmtId="0">
      <sharedItems containsString="0" containsBlank="1" containsNumber="1" containsInteger="1" minValue="1" maxValue="179"/>
    </cacheField>
    <cacheField name="Solar lamps" numFmtId="1">
      <sharedItems containsString="0" containsBlank="1" containsNumber="1" containsInteger="1" minValue="60" maxValue="167"/>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Deepika Bhardwaj" refreshedDate="43242.469452314814" missingItemsLimit="0" createdVersion="4" refreshedVersion="5" minRefreshableVersion="3" recordCount="293">
  <cacheSource type="worksheet">
    <worksheetSource name="AllData_CampList"/>
  </cacheSource>
  <cacheFields count="31">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Chipwi"/>
        <s v="Bhamo"/>
        <s v="Momauk"/>
        <s v="Namhkan"/>
        <s v="Mansi"/>
        <s v="Shwegu"/>
        <s v="Khaunglanhpu"/>
        <s v="Puta-O"/>
        <s v="Mogaung"/>
        <s v="Mohnyin"/>
        <s v="Hpakant"/>
        <s v="Muse"/>
        <s v="Injangyang"/>
        <s v="Kutkai"/>
        <s v="Sumprabum"/>
        <s v="Machanbaw"/>
        <s v="Manton"/>
        <s v="Namtu"/>
        <s v="Hseni"/>
        <s v="Tana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2" maxValue="220512"/>
    </cacheField>
    <cacheField name="Camp" numFmtId="0">
      <sharedItems count="290">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Nam Hkam Malut Jak "/>
        <s v="Momauk Catholic Church (St. Patrick)"/>
        <s v="Nam Hkam Catholic Church ( St. Thomas I)"/>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ung Baw "/>
        <s v="Mashi Kahtawng Baptist  Church"/>
        <s v="Mashi Kahtawng Rakhine traditional group"/>
        <s v="Mashi Kahtawng Evangelical Church"/>
        <s v="Mashi Kahtawng Yaung Chi Oo Thi la shin Monestry"/>
        <s v="Mashi Kahtawng Municipal Dammar Yone"/>
        <s v="Mashi Kahtawng Myo Oo Taw Ya Monestry"/>
        <s v="Howa"/>
        <s v="Mashi Kahtawng Shan Traditional Monestry"/>
        <s v="Nam Hkyet"/>
        <s v="Thiri Mingalar Manizay Yone, Myoma Quarter"/>
        <s v="Munekoe Pa (Giwang) - Hka San (Mung  Go  Pa ) "/>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Man Ting"/>
        <s v="Khun Sint Village"/>
        <s v="Kone Khem Camp"/>
        <s v="Zomee Baptist Church camp, Hmaw Wan"/>
        <s v="Lagatyan "/>
        <s v="Mung Ding Pa  (Boarder)"/>
        <s v="Nam Lim Pa"/>
        <s v="Kutkai downtown (RC Church)"/>
        <s v="Sumprabum"/>
        <s v="IDP Boarding School, A Len Bum"/>
        <s v="Nam Lim Pa    (Boarding School)"/>
        <s v="Pan Wa"/>
        <s v="Thu Kha Waddy"/>
        <s v="Man Kawng Baptist Church"/>
        <s v="Man Kawng Catholic Church"/>
        <s v="Mungji Pa Dabang (RC Church)         "/>
        <s v="Ban Hkung Yang (Boarding School)"/>
        <s v="Hpai Kawng Mare"/>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Nam Hkam Catholic Church ( St. Thomas II)"/>
        <s v="Lung Sut"/>
        <s v="Sar Hmaw - ICM"/>
        <s v="Sar Hmaw - KBC"/>
        <s v="Ma Hawng RC "/>
        <s v="Nam Hkam (KBC Jaw Wang)"/>
        <s v="Nam Hkam - Nay Win Ni (Palawng)"/>
        <s v="Ndup Yang"/>
        <s v="Salang Yang"/>
        <s v="Dawthponeyan Boarding School"/>
        <s v="Mungji Pa Dabang (Baptist Church)         "/>
        <s v="Mung Ding Pa "/>
        <s v="Nam Hpak Ka Mare "/>
        <s v="Wara Zup KBC Church"/>
        <s v="Mandung - Jinghpaw"/>
        <s v="Nam Hkawng"/>
        <s v="Nam Tu Baptist"/>
        <s v="Narte"/>
        <s v="A Lo Taw Pyae monastery"/>
        <s v="Mandung - RC"/>
        <s v="Nam Tu RC"/>
        <s v="Galeng (Kachin)"/>
        <s v="Shar Du Zut KBC church "/>
        <s v="Thar Ta Na Aung San monastery"/>
        <s v="Shar Du Zut RC church"/>
        <s v="Galeng (Palaung)"/>
        <s v="Kutkai downtown (KBC Church)"/>
        <s v="Mine Yu Lay village ( Old)"/>
        <s v="Zup Aung Camp"/>
        <s v="Muse Baptist Church"/>
        <s v="Muyin church (Aung Yar pre-school compound)"/>
        <s v="Muse Catholic Church"/>
        <s v="Mungji Pa Dabang (Catholic Church)"/>
        <s v="Nam Hkam (KBC Jaw Wang) II"/>
        <s v="New Pang Ku "/>
        <s v="Namhkan - Pang Long KBC"/>
        <s v="Pan Ta Pyae"/>
        <s v="Man Sa"/>
        <s v="Hka Shi"/>
        <s v="Sha-It Yang"/>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Lawng Hkang Shait Yang Camp​ ( Lel Pyin)​ "/>
        <s v="Namt Hkun monastery"/>
        <s v="St. Peter Church (Ho Mun ward)"/>
        <s v="Gawrakha Youth Association"/>
        <s v="B.E.H.S 2 (Ho Mun ward)"/>
        <s v="Nam Sa Larp"/>
        <s v="Mai Yu Lay New (Ta'ang)"/>
        <s v="Tanai RC Church - Kinsa Ra "/>
        <s v="Tanai AG Church "/>
        <s v="Tanai KBC Church "/>
        <s v="Tanai CoC"/>
        <s v="B.E.H.S 4 (Ho Mun ward)"/>
        <s v="Namti"/>
        <s v="Ka Bu Dam CoC"/>
        <s v="AG Church Pa Ma Tee"/>
        <s v="Sadung"/>
        <s v="Myo Oo St. Dominic RC Church"/>
        <s v="Lan Gwa St.Paul RC Church"/>
        <s v="Lan Gwa KBC Church"/>
        <s v="Emmanuel AG Church"/>
        <s v="Trinity KBC Church"/>
        <s v="Tang Hpre RC Church"/>
        <s v="Wein Sai Church "/>
        <s v="Man Kaung/Naung Ti Kyar Village"/>
        <s v="Kutkai downtown (KBC Church-2)"/>
        <s v="Man Loi"/>
        <s v="Hpai Kawng"/>
        <s v="Pan Law"/>
        <s v="Kyu Sot"/>
      </sharedItems>
    </cacheField>
    <cacheField name="CP_Pcode" numFmtId="0">
      <sharedItems count="293">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15CMP002"/>
        <s v="MMR001CMP057"/>
        <s v="MMR015CMP003"/>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15CMP005"/>
        <s v="MMR001CMP094"/>
        <s v="MMR001CMP095"/>
        <s v="MMR001CMP096"/>
        <s v="MMR001CMP097"/>
        <s v="MMR001CMP098"/>
        <s v="MMR001CMP099"/>
        <s v="MMR015CMP010"/>
        <s v="MMR001CMP100"/>
        <s v="MMR015CMP011"/>
        <s v="MMR001CMP101"/>
        <s v="MMR015CMP012"/>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15CMP015"/>
        <s v="MMR001CMP201"/>
        <s v="MMR001CMP202"/>
        <s v="MMR001CMP203"/>
        <s v="MMR001CMP204"/>
        <s v="MMR015CMP017"/>
        <s v="MMR001CMP206"/>
        <s v="MMR001CMP208"/>
        <s v="MMR001CMP209"/>
        <s v="MMR001CMP210"/>
        <s v="MMR001CMP211"/>
        <s v="MMR001CMP212"/>
        <s v="MMR001CMP213"/>
        <s v="MMR015CMP019"/>
        <s v="MMR001CMP214"/>
        <s v="MMR015CMP022"/>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15CMP024"/>
        <s v="MMR001CMP234"/>
        <s v="MMR001CMP235"/>
        <s v="MMR001CMP236"/>
        <s v="MMR001CMP237"/>
        <s v="MMR015CMP001"/>
        <s v="MMR015CMP004"/>
        <s v="MMR001CMP238"/>
        <s v="MMR001CMP239"/>
        <s v="MMR001CMP240"/>
        <s v="MMR015CMP006"/>
        <s v="MMR001CMP241"/>
        <s v="MMR015CMP007"/>
        <s v="MMR001CMP242"/>
        <s v="MMR015CMP009"/>
        <s v="MMR015CMP139"/>
        <s v="MMR015CMP014"/>
        <s v="MMR015CMP207"/>
        <s v="MMR001CMP243"/>
        <s v="MMR015CMP209"/>
        <s v="MMR015CMP210"/>
        <s v="MMR015CMP211"/>
        <s v="MMR001CMP244"/>
        <s v="MMR001CMP245"/>
        <s v="MMR001CMP246"/>
        <s v="MMR015CMP212"/>
        <s v="MMR015CMP016"/>
        <s v="MMR015CMP018"/>
        <s v="MMR015CMP020"/>
        <s v="MMR015CMP213"/>
        <s v="MMR001CMP247"/>
        <s v="MMR015CMP216"/>
        <s v="MMR015CMP217"/>
        <s v="MMR015CMP214"/>
        <s v="MMR015CMP219"/>
        <s v="MMR015CMP215"/>
        <s v="MMR015CMP221"/>
        <s v="MMR015CMP222"/>
        <s v="MMR001CMP248"/>
        <s v="MMR001CMP249"/>
        <s v="MMR015CMP223"/>
        <s v="MMR015CMP224"/>
        <s v="MMR015CMP225"/>
        <s v="MMR015CMP226"/>
        <s v="MMR015CMP227"/>
        <s v="MMR015CMP228"/>
        <s v="MMR015CMP229"/>
        <s v="MMR015CMP230"/>
        <s v="MMR015CMP231"/>
        <s v="MMR015CMP232"/>
        <s v="MMR015CMP233"/>
        <s v="MMR015CMP234"/>
        <s v="MMR015CMP235"/>
        <s v="MMR015CMP236"/>
        <s v="MMR015CMP237"/>
        <s v="MMR001CMP250"/>
        <s v="MMR015CMP238"/>
        <s v="MMR015CMP239"/>
        <s v="MMR015CMP240"/>
        <s v="MMR015CMP241"/>
        <s v="MMR015CMP218"/>
        <s v="MMR015CMP220"/>
        <s v="MMR001CMP251"/>
        <s v="MMR001CMP252"/>
        <s v="MMR001CMP253"/>
        <s v="MMR001CMP254"/>
        <s v="MMR015CMP242"/>
        <s v="MMR001CMP255"/>
        <s v="MMR001CMP256"/>
        <s v="MMR001CMP257"/>
        <s v="MMR001CMP258"/>
        <s v="MMR001CMP259"/>
        <s v="MMR001CMP260"/>
        <s v="MMR001CMP261"/>
        <s v="MMR001CMP262"/>
        <s v="MMR001CMP263"/>
        <s v="MMR001CMP264"/>
        <s v="MMR015CMP243"/>
        <s v="MMR015CMP244"/>
        <s v="MMR015CMP245"/>
        <s v="MMR015CMP246"/>
        <s v="MMR015CMP247"/>
        <s v="MMR015CMP249"/>
        <s v="MMR015CMP248"/>
      </sharedItems>
    </cacheField>
    <cacheField name="Longitude" numFmtId="0">
      <sharedItems containsString="0" containsBlank="1" containsNumber="1" minValue="96.269199999999998" maxValue="98.475719999999995" count="208">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670360000000002"/>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8.054946000000001"/>
        <n v="96.310928000000004"/>
        <n v="98.116817999999995"/>
        <n v="98.129380999999995"/>
        <n v="98.320651999999995"/>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7.848529999999997"/>
        <n v="96.315601999999998"/>
        <n v="97.601243999999994"/>
        <n v="96.808850000000007"/>
        <n v="97.947360000000003"/>
        <n v="97.568836000000005"/>
        <n v="97.541793999999996"/>
        <n v="98.377780000000001"/>
        <n v="97.710989999999995"/>
        <n v="98.213958000000005"/>
        <n v="98.115809999999996"/>
        <n v="97.225881000000001"/>
        <n v="97.58184"/>
        <n v="97.586470000000006"/>
        <n v="97.227057000000002"/>
        <n v="97.239130000000003"/>
        <n v="98.356260000000006"/>
        <n v="97.608249999999998"/>
        <n v="97.561105999999995"/>
        <n v="97.578367"/>
        <n v="97.590767"/>
        <n v="96.637"/>
        <n v="96.52534"/>
        <n v="96.366919999999993"/>
        <n v="97.678299999999993"/>
        <n v="97.416121000000004"/>
        <n v="96.793999999999997"/>
        <n v="97.669557999999995"/>
        <n v="97.681970000000007"/>
        <n v="97.745480999999998"/>
        <n v="97.75609"/>
        <n v="97.461271999999994"/>
        <n v="98.220614999999995"/>
        <n v="97.174999999999997"/>
        <n v="97.818979999999996"/>
        <n v="97.124403000000001"/>
        <n v="98.139397000000002"/>
        <n v="97.404089999999997"/>
        <n v="98.352670000000003"/>
        <n v="96.662092000000001"/>
        <n v="97.116680000000002"/>
        <n v="97.398989"/>
        <n v="97.926813999999993"/>
        <n v="97.793019999999999"/>
        <n v="97.837040000000002"/>
        <n v="97.909400000000005"/>
        <n v="97.911647000000002"/>
        <n v="98.248999999999995"/>
        <n v="97.700940000000003"/>
        <n v="97.868876999999998"/>
        <n v="97.709879999999998"/>
        <n v="97.358999999999995"/>
        <n v="97.430321000000006"/>
        <n v="97.504999999999995"/>
        <n v="97.506"/>
        <n v="97.810101000000003"/>
        <n v="98.221000000000004"/>
        <n v="98.337999999999994"/>
        <n v="97.400671000000003"/>
        <n v="98.218626999999998"/>
        <n v="97.796999999999997"/>
        <n v="97.010629910000006"/>
        <n v="97.013800000000003"/>
        <n v="97.104997409999996"/>
        <n v="97.431079999999994"/>
        <n v="97.49136"/>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497"/>
    </cacheField>
    <cacheField name="Total" numFmtId="0">
      <sharedItems containsString="0" containsBlank="1" containsNumber="1" containsInteger="1" minValue="0" maxValue="8461"/>
    </cacheField>
    <cacheField name="Avg" numFmtId="2">
      <sharedItems containsMixedTypes="1" containsNumber="1" minValue="2.4210526315789473" maxValue="6.75"/>
    </cacheField>
    <cacheField name="Accessibility" numFmtId="0">
      <sharedItems count="2">
        <s v="GCA"/>
        <s v="NGCA"/>
      </sharedItems>
    </cacheField>
    <cacheField name="Affected Population" numFmtId="49">
      <sharedItems count="1">
        <s v="IDP"/>
      </sharedItems>
    </cacheField>
    <cacheField name="Type of Accomodation" numFmtId="0">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7-08-17T00:00:00" count="55">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2-07-01T00:00:00"/>
        <d v="2013-08-01T00:00:00"/>
        <d v="2014-03-03T00:00:00"/>
        <d v="2013-01-01T00:00:00"/>
        <d v="2011-09-01T00:00:00"/>
        <d v="2013-04-01T00:00:00"/>
        <d v="2013-10-01T00:00:00"/>
        <d v="2013-09-01T00:00:00"/>
        <d v="2014-06-01T00:00:00"/>
        <d v="2014-04-01T00:00:00"/>
        <d v="2015-01-15T00:00:00"/>
        <d v="2015-06-25T00:00:00"/>
        <d v="2015-05-01T00:00:00"/>
        <d v="2013-12-01T00:00:00"/>
        <d v="2015-02-01T00:00:00"/>
        <d v="2016-01-01T00:00:00"/>
        <d v="2016-08-02T00:00:00"/>
        <d v="2014-03-05T00:00:00"/>
        <d v="2014-04-05T00:00:00"/>
        <d v="2014-11-04T00:00:00"/>
        <d v="2014-04-18T00:00:00"/>
        <d v="2017-01-17T00:00:00"/>
        <d v="2016-02-01T00:00:00"/>
        <d v="2016-03-01T00:00:00"/>
        <d v="2017-06-01T00:00:00"/>
        <d v="2016-03-06T00:00:00"/>
        <d v="2017-01-06T00:00:00"/>
        <d v="2017-08-15T00:00:00"/>
        <d v="2017-07-13T00:00:00"/>
        <d v="2017-08-16T00:00:00"/>
        <d v="2017-01-16T00:00:00"/>
        <d v="2017-04-22T00:00:00"/>
        <d v="2017-04-26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5-2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32.827754639406997"/>
    </cacheField>
    <cacheField name="Distance_Cat" numFmtId="0">
      <sharedItems containsBlank="1" containsMixedTypes="1" containsNumber="1" containsInteger="1" minValue="1" maxValue="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07"/>
    <n v="559"/>
    <n v="0"/>
    <n v="0"/>
    <n v="0"/>
    <n v="214"/>
    <n v="107"/>
    <n v="107"/>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143"/>
    <n v="640"/>
    <n v="0"/>
    <n v="0"/>
    <n v="0"/>
    <n v="286"/>
    <n v="143"/>
    <n v="143"/>
    <s v=""/>
    <n v="0"/>
  </r>
  <r>
    <s v="MMR001CMP225"/>
    <x v="0"/>
    <s v="Saw Zam"/>
    <s v="Chipwi"/>
    <n v="30"/>
    <n v="172"/>
    <n v="0"/>
    <n v="0"/>
    <n v="0"/>
    <n v="60"/>
    <n v="30"/>
    <n v="30"/>
    <s v=""/>
    <n v="0"/>
  </r>
  <r>
    <s v="MMR001CMP210"/>
    <x v="0"/>
    <s v="Pan Wa"/>
    <s v="Chipwi"/>
    <n v="57"/>
    <n v="270"/>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88"/>
    <n v="558"/>
    <n v="0"/>
    <n v="0"/>
    <n v="0"/>
    <n v="176"/>
    <n v="88"/>
    <n v="88"/>
    <s v=""/>
    <n v="0"/>
  </r>
  <r>
    <s v="MMR001CMP113"/>
    <x v="0"/>
    <s v="Border Post 8"/>
    <s v="Waingmaw"/>
    <n v="125"/>
    <n v="483"/>
    <n v="0"/>
    <n v="0"/>
    <n v="0"/>
    <n v="250"/>
    <n v="125"/>
    <n v="125"/>
    <s v=""/>
    <n v="0"/>
  </r>
  <r>
    <s v="MMR001CMP041"/>
    <x v="0"/>
    <s v="Shing Jai"/>
    <s v="Waingmaw"/>
    <n v="181"/>
    <n v="1001"/>
    <n v="0"/>
    <n v="0"/>
    <n v="0"/>
    <n v="362"/>
    <n v="181"/>
    <n v="181"/>
    <s v=""/>
    <n v="0"/>
  </r>
  <r>
    <s v="MMR001CMP131"/>
    <x v="0"/>
    <s v="Nhkawng Pa "/>
    <s v="Momauk"/>
    <n v="356"/>
    <n v="1787"/>
    <n v="0"/>
    <n v="0"/>
    <n v="0"/>
    <n v="712"/>
    <n v="356"/>
    <n v="356"/>
    <s v=""/>
    <n v="0"/>
  </r>
  <r>
    <s v="MMR015CMP006"/>
    <x v="0"/>
    <s v="Mungji Pa Dabang (Baptist Church)         "/>
    <s v="Kutkai"/>
    <n v="42"/>
    <n v="234"/>
    <n v="0"/>
    <n v="0"/>
    <n v="0"/>
    <n v="84"/>
    <n v="42"/>
    <n v="42"/>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6"/>
    <n v="3646"/>
    <n v="0"/>
    <n v="0"/>
    <n v="0"/>
    <n v="1432"/>
    <n v="716"/>
    <n v="716"/>
    <s v=""/>
    <n v="0"/>
  </r>
  <r>
    <s v="MMR001CMP121"/>
    <x v="0"/>
    <s v="Je Yang Hka "/>
    <s v="Momauk"/>
    <n v="1497"/>
    <n v="8461"/>
    <n v="0"/>
    <n v="0"/>
    <n v="0"/>
    <n v="2994"/>
    <n v="1497"/>
    <n v="1497"/>
    <s v=""/>
    <n v="0"/>
  </r>
  <r>
    <s v="MMR001CMP126"/>
    <x v="0"/>
    <s v="Pa Kahtawng "/>
    <s v="Momauk"/>
    <n v="651"/>
    <n v="3631"/>
    <n v="0"/>
    <n v="0"/>
    <n v="0"/>
    <n v="1302"/>
    <n v="651"/>
    <n v="651"/>
    <s v=""/>
    <n v="0"/>
  </r>
  <r>
    <s v="MMR001CMP123"/>
    <x v="0"/>
    <s v="Dum Bung "/>
    <s v="Momauk"/>
    <n v="93"/>
    <n v="428"/>
    <n v="0"/>
    <n v="0"/>
    <n v="0"/>
    <n v="186"/>
    <n v="93"/>
    <n v="93"/>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8"/>
    <n v="1569"/>
    <n v="0"/>
    <n v="0"/>
    <n v="0"/>
    <n v="836"/>
    <n v="418"/>
    <n v="418"/>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0"/>
    <n v="240"/>
    <n v="0"/>
    <n v="0"/>
    <n v="0"/>
    <n v="80"/>
    <n v="40"/>
    <n v="40"/>
    <s v=""/>
    <n v="0"/>
  </r>
  <r>
    <s v="MMR001CMP069"/>
    <x v="0"/>
    <s v="Loi Je Catholic Church"/>
    <s v="Momauk"/>
    <n v="129"/>
    <n v="640"/>
    <n v="0"/>
    <n v="0"/>
    <n v="0"/>
    <n v="258"/>
    <n v="129"/>
    <n v="129"/>
    <s v=""/>
    <n v="0"/>
  </r>
  <r>
    <s v="MMR001CMP070"/>
    <x v="0"/>
    <s v="Loi Je Lisu Camp"/>
    <s v="Momauk"/>
    <n v="203"/>
    <n v="1138"/>
    <n v="0"/>
    <n v="0"/>
    <n v="0"/>
    <n v="406"/>
    <n v="203"/>
    <n v="203"/>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4"/>
    <n v="0"/>
    <n v="0"/>
    <n v="0"/>
    <n v="112"/>
    <n v="56"/>
    <n v="56"/>
    <s v=""/>
    <n v="0"/>
  </r>
  <r>
    <s v="MMR015CMP017"/>
    <x v="0"/>
    <s v="Kutkai downtown (RC Church)"/>
    <s v="Kutkai"/>
    <n v="29"/>
    <n v="138"/>
    <n v="0"/>
    <n v="0"/>
    <n v="0"/>
    <n v="58"/>
    <n v="29"/>
    <n v="29"/>
    <s v=""/>
    <n v="0"/>
  </r>
  <r>
    <s v="MMR015CMP018"/>
    <x v="0"/>
    <s v="Mine Yu Lay village ( Old)"/>
    <s v="Kutkai"/>
    <n v="76"/>
    <n v="338"/>
    <n v="0"/>
    <n v="0"/>
    <n v="0"/>
    <n v="152"/>
    <n v="76"/>
    <n v="76"/>
    <s v=""/>
    <n v="0"/>
  </r>
  <r>
    <s v="MMR015CMP007"/>
    <x v="0"/>
    <s v="Nam Hpak Ka Mare "/>
    <s v="Kutkai"/>
    <n v="58"/>
    <n v="273"/>
    <n v="0"/>
    <n v="0"/>
    <n v="0"/>
    <n v="116"/>
    <n v="58"/>
    <n v="58"/>
    <s v=""/>
    <n v="0"/>
  </r>
  <r>
    <s v="MMR015CMP020"/>
    <x v="0"/>
    <s v="Zup Aung Camp"/>
    <s v="Kutkai"/>
    <n v="198"/>
    <n v="1008"/>
    <n v="0"/>
    <n v="0"/>
    <n v="0"/>
    <n v="396"/>
    <n v="198"/>
    <n v="198"/>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7"/>
    <n v="0"/>
    <n v="0"/>
    <n v="0"/>
    <n v="150"/>
    <n v="75"/>
    <n v="75"/>
    <s v=""/>
    <n v="0"/>
  </r>
  <r>
    <s v="MMR015CMP001"/>
    <x v="0"/>
    <s v="Nam Hkam (KBC Jaw Wang)"/>
    <s v="Namhkan"/>
    <n v="66"/>
    <n v="336"/>
    <n v="0"/>
    <n v="0"/>
    <n v="0"/>
    <n v="132"/>
    <n v="66"/>
    <n v="66"/>
    <s v=""/>
    <n v="0"/>
  </r>
  <r>
    <s v="MMR015CMP003"/>
    <x v="0"/>
    <s v="Nam Hkam Catholic Church ( St. Thomas I)"/>
    <s v="Namhkan"/>
    <n v="44"/>
    <n v="223"/>
    <n v="0"/>
    <n v="0"/>
    <n v="0"/>
    <n v="88"/>
    <n v="44"/>
    <n v="44"/>
    <s v=""/>
    <n v="0"/>
  </r>
  <r>
    <s v="MMR015CMP014"/>
    <x v="0"/>
    <s v="Nam Tu Baptist"/>
    <s v="Namtu"/>
    <n v="41"/>
    <n v="179"/>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4"/>
    <n v="324"/>
    <n v="0"/>
    <n v="0"/>
    <n v="0"/>
    <n v="128"/>
    <n v="64"/>
    <n v="64"/>
    <s v=""/>
    <n v="0"/>
  </r>
  <r>
    <s v="MMR001CMP050"/>
    <x v="0"/>
    <s v="AD-2000 Tharthana Compound"/>
    <s v="Bhamo"/>
    <n v="257"/>
    <n v="1278"/>
    <n v="0"/>
    <n v="0"/>
    <n v="0"/>
    <n v="514"/>
    <n v="257"/>
    <n v="257"/>
    <s v=""/>
    <n v="0"/>
  </r>
  <r>
    <s v="MMR001CMP176"/>
    <x v="0"/>
    <s v="AG Church, Hmaw Si Sa"/>
    <s v="Hpakant"/>
    <n v="65"/>
    <n v="353"/>
    <n v="0"/>
    <n v="0"/>
    <n v="0"/>
    <n v="130"/>
    <n v="65"/>
    <n v="65"/>
    <s v=""/>
    <n v="0"/>
  </r>
  <r>
    <s v="MMR001CMP190"/>
    <x v="0"/>
    <s v="AG Church, Maw Wan"/>
    <s v="Hpakant"/>
    <n v="14"/>
    <n v="81"/>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8"/>
    <n v="0"/>
    <n v="0"/>
    <n v="0"/>
    <n v="72"/>
    <n v="36"/>
    <n v="36"/>
    <s v=""/>
    <n v="0"/>
  </r>
  <r>
    <s v="MMR001CMP188"/>
    <x v="0"/>
    <s v="Baptist Church, Naung Hmee VT"/>
    <s v="Hpakant"/>
    <n v="0"/>
    <n v="0"/>
    <n v="0"/>
    <n v="0"/>
    <n v="0"/>
    <n v="0"/>
    <n v="0"/>
    <n v="0"/>
    <s v=""/>
    <n v="0"/>
  </r>
  <r>
    <s v="MMR001CMP109"/>
    <x v="0"/>
    <s v="Chin Church, Seik Mu"/>
    <s v="Hpakant"/>
    <n v="5"/>
    <n v="27"/>
    <n v="0"/>
    <n v="0"/>
    <n v="0"/>
    <n v="10"/>
    <n v="5"/>
    <n v="5"/>
    <s v=""/>
    <n v="0"/>
  </r>
  <r>
    <s v="MMR001CMP174"/>
    <x v="0"/>
    <s v="Dhama Rakhita, Nyein Chan Tar Yar Ward(Lon Khin)"/>
    <s v="Hpakant"/>
    <n v="70"/>
    <n v="375"/>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13"/>
    <n v="46"/>
    <n v="0"/>
    <n v="0"/>
    <n v="0"/>
    <n v="26"/>
    <n v="13"/>
    <n v="13"/>
    <s v=""/>
    <n v="0"/>
  </r>
  <r>
    <s v="MMR001CMP191"/>
    <x v="0"/>
    <s v="Hmaw Wan, Anglican"/>
    <s v="Hpakant"/>
    <n v="4"/>
    <n v="27"/>
    <n v="0"/>
    <n v="0"/>
    <n v="0"/>
    <n v="8"/>
    <n v="4"/>
    <n v="4"/>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27"/>
    <n v="0"/>
    <n v="0"/>
    <n v="0"/>
    <n v="82"/>
    <n v="41"/>
    <n v="41"/>
    <s v=""/>
    <n v="0"/>
  </r>
  <r>
    <s v="MMR001CMP018"/>
    <x v="0"/>
    <s v="Jan Mai Kawng Baptist Church"/>
    <s v="Myitkyina"/>
    <n v="199"/>
    <n v="1118"/>
    <n v="0"/>
    <n v="0"/>
    <n v="0"/>
    <n v="398"/>
    <n v="199"/>
    <n v="199"/>
    <s v=""/>
    <n v="0"/>
  </r>
  <r>
    <s v="MMR001CMP019"/>
    <x v="0"/>
    <s v="Jan Mai Kawng Catholic Church"/>
    <s v="Myitkyina"/>
    <n v="115"/>
    <n v="562"/>
    <n v="0"/>
    <n v="0"/>
    <n v="0"/>
    <n v="230"/>
    <n v="115"/>
    <n v="115"/>
    <s v=""/>
    <n v="0"/>
  </r>
  <r>
    <s v="MMR001CMP200"/>
    <x v="0"/>
    <s v="Khun Sint Village"/>
    <s v="Momauk"/>
    <n v="3"/>
    <n v="18"/>
    <n v="0"/>
    <n v="0"/>
    <n v="0"/>
    <n v="6"/>
    <n v="3"/>
    <n v="3"/>
    <s v=""/>
    <n v="0"/>
  </r>
  <r>
    <s v="MMR001CMP013"/>
    <x v="0"/>
    <s v="Kyun Pin Thar Baptist Church"/>
    <s v="Myitkyina"/>
    <n v="44"/>
    <n v="197"/>
    <n v="0"/>
    <n v="0"/>
    <n v="0"/>
    <n v="88"/>
    <n v="44"/>
    <n v="44"/>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2"/>
    <n v="546"/>
    <n v="0"/>
    <n v="0"/>
    <n v="0"/>
    <n v="204"/>
    <n v="102"/>
    <n v="102"/>
    <s v=""/>
    <n v="0"/>
  </r>
  <r>
    <s v="MMR001CMP014"/>
    <x v="0"/>
    <s v="Le Kone Ziun Baptist Church "/>
    <s v="Myitkyina"/>
    <n v="138"/>
    <n v="703"/>
    <n v="0"/>
    <n v="0"/>
    <n v="0"/>
    <n v="276"/>
    <n v="138"/>
    <n v="138"/>
    <s v=""/>
    <n v="0"/>
  </r>
  <r>
    <s v="MMR001CMP181"/>
    <x v="0"/>
    <s v="Lisu Baptist Church, Maw Shan Vil,. Seik Mu"/>
    <s v="Hpakant"/>
    <n v="19"/>
    <n v="102"/>
    <n v="0"/>
    <n v="0"/>
    <n v="0"/>
    <n v="38"/>
    <n v="19"/>
    <n v="19"/>
    <s v=""/>
    <n v="0"/>
  </r>
  <r>
    <s v="MMR001CMP167"/>
    <x v="0"/>
    <s v="Lisu Baptist Church, Maw Wan Ward"/>
    <s v="Hpakant"/>
    <n v="12"/>
    <n v="61"/>
    <n v="0"/>
    <n v="0"/>
    <n v="0"/>
    <n v="24"/>
    <n v="12"/>
    <n v="12"/>
    <s v=""/>
    <n v="0"/>
  </r>
  <r>
    <s v="MMR001CMP049"/>
    <x v="0"/>
    <s v="Lisu Boarding-House"/>
    <s v="Bhamo"/>
    <n v="129"/>
    <n v="742"/>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39"/>
    <n v="1975"/>
    <n v="0"/>
    <n v="0"/>
    <n v="0"/>
    <n v="678"/>
    <n v="339"/>
    <n v="339"/>
    <s v=""/>
    <n v="0"/>
  </r>
  <r>
    <s v="MMR001CMP029"/>
    <x v="0"/>
    <s v="Maina Catholic Church (St. Joseph)"/>
    <s v="Waingmaw"/>
    <n v="285"/>
    <n v="1508"/>
    <n v="0"/>
    <n v="0"/>
    <n v="0"/>
    <n v="570"/>
    <n v="285"/>
    <n v="285"/>
    <s v=""/>
    <n v="0"/>
  </r>
  <r>
    <s v="MMR001CMP040"/>
    <x v="0"/>
    <s v="Maina KBC (Bawng Ring)"/>
    <s v="Waingmaw"/>
    <n v="510"/>
    <n v="2680"/>
    <n v="0"/>
    <n v="0"/>
    <n v="0"/>
    <n v="1020"/>
    <n v="510"/>
    <n v="510"/>
    <s v=""/>
    <n v="0"/>
  </r>
  <r>
    <s v="MMR001CMP039"/>
    <x v="0"/>
    <s v="Maina Lawang Baptist Church"/>
    <s v="Waingmaw"/>
    <n v="47"/>
    <n v="208"/>
    <n v="0"/>
    <n v="0"/>
    <n v="0"/>
    <n v="94"/>
    <n v="47"/>
    <n v="47"/>
    <s v=""/>
    <n v="0"/>
  </r>
  <r>
    <s v="MMR001CMP218"/>
    <x v="0"/>
    <s v="Maing Khaung"/>
    <s v="Mansi"/>
    <n v="432"/>
    <n v="2149"/>
    <n v="0"/>
    <n v="0"/>
    <n v="0"/>
    <n v="864"/>
    <n v="432"/>
    <n v="432"/>
    <s v=""/>
    <n v="0"/>
  </r>
  <r>
    <s v="MMR001CMP223"/>
    <x v="0"/>
    <s v="Maing Khaung Catholic Church"/>
    <s v="Mansi"/>
    <n v="169"/>
    <n v="775"/>
    <n v="0"/>
    <n v="0"/>
    <n v="0"/>
    <n v="338"/>
    <n v="169"/>
    <n v="169"/>
    <s v=""/>
    <n v="0"/>
  </r>
  <r>
    <s v="MMR001CMP016"/>
    <x v="0"/>
    <s v="Maliyang Baptist Church"/>
    <s v="Myitkyina"/>
    <n v="61"/>
    <n v="302"/>
    <n v="0"/>
    <n v="0"/>
    <n v="0"/>
    <n v="122"/>
    <n v="61"/>
    <n v="61"/>
    <s v=""/>
    <n v="0"/>
  </r>
  <r>
    <s v="MMR001CMP062"/>
    <x v="0"/>
    <s v="Man Bung Catholic compound"/>
    <s v="Momauk"/>
    <n v="281"/>
    <n v="1256"/>
    <n v="0"/>
    <n v="0"/>
    <n v="0"/>
    <n v="562"/>
    <n v="281"/>
    <n v="281"/>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6"/>
    <n v="2329"/>
    <n v="0"/>
    <n v="0"/>
    <n v="0"/>
    <n v="892"/>
    <n v="446"/>
    <n v="446"/>
    <s v=""/>
    <n v="0"/>
  </r>
  <r>
    <s v="MMR001CMP228"/>
    <x v="0"/>
    <s v="Man Wing Catholic Church II"/>
    <s v="Mansi"/>
    <n v="156"/>
    <n v="711"/>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4"/>
    <n v="97"/>
    <n v="0"/>
    <n v="0"/>
    <n v="0"/>
    <n v="48"/>
    <n v="24"/>
    <n v="24"/>
    <s v=""/>
    <n v="0"/>
  </r>
  <r>
    <s v="MMR001CMP021"/>
    <x v="0"/>
    <s v="Maw Hpawng Lhaovo Baptist Church"/>
    <s v="Myitkyina"/>
    <n v="14"/>
    <n v="76"/>
    <n v="0"/>
    <n v="0"/>
    <n v="0"/>
    <n v="28"/>
    <n v="14"/>
    <n v="14"/>
    <s v=""/>
    <n v="0"/>
  </r>
  <r>
    <s v="MMR001CMP091"/>
    <x v="0"/>
    <s v="Maw Wan, Mu-yin Baptist Church"/>
    <s v="Hpakant"/>
    <n v="4"/>
    <n v="15"/>
    <n v="0"/>
    <n v="0"/>
    <n v="0"/>
    <n v="8"/>
    <n v="4"/>
    <n v="4"/>
    <s v=""/>
    <n v="0"/>
  </r>
  <r>
    <s v="MMR001CMP056"/>
    <x v="0"/>
    <s v="Momauk Baptist Church"/>
    <s v="Momauk"/>
    <n v="415"/>
    <n v="1898"/>
    <n v="0"/>
    <n v="0"/>
    <n v="0"/>
    <n v="830"/>
    <n v="415"/>
    <n v="415"/>
    <s v=""/>
    <n v="0"/>
  </r>
  <r>
    <s v="MMR001CMP057"/>
    <x v="0"/>
    <s v="Momauk Catholic Church (St. Patrick)"/>
    <s v="Momauk"/>
    <n v="0"/>
    <n v="0"/>
    <n v="0"/>
    <n v="0"/>
    <n v="0"/>
    <n v="0"/>
    <n v="0"/>
    <n v="0"/>
    <s v=""/>
    <n v="0"/>
  </r>
  <r>
    <s v="MMR015CMP213"/>
    <x v="0"/>
    <s v="Muse Baptist Church"/>
    <s v="Muse"/>
    <n v="42"/>
    <n v="192"/>
    <n v="0"/>
    <n v="0"/>
    <n v="0"/>
    <n v="84"/>
    <n v="42"/>
    <n v="42"/>
    <s v=""/>
    <n v="0"/>
  </r>
  <r>
    <s v="MMR015CMP216"/>
    <x v="0"/>
    <s v="Muse Catholic Church"/>
    <s v="Muse"/>
    <n v="18"/>
    <n v="80"/>
    <n v="0"/>
    <n v="0"/>
    <n v="0"/>
    <n v="36"/>
    <n v="18"/>
    <n v="18"/>
    <s v=""/>
    <n v="0"/>
  </r>
  <r>
    <s v="MMR001CMP051"/>
    <x v="0"/>
    <s v="Mu-yin Baptist Church"/>
    <s v="Bhamo"/>
    <n v="14"/>
    <n v="59"/>
    <n v="0"/>
    <n v="0"/>
    <n v="0"/>
    <n v="28"/>
    <n v="14"/>
    <n v="14"/>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8"/>
    <n v="200"/>
    <n v="0"/>
    <n v="0"/>
    <n v="0"/>
    <n v="76"/>
    <n v="38"/>
    <n v="38"/>
    <s v=""/>
    <n v="0"/>
  </r>
  <r>
    <s v="MMR001CMP192"/>
    <x v="0"/>
    <s v="Nam Ma Phyit, COC"/>
    <s v="Hpakant"/>
    <n v="11"/>
    <n v="46"/>
    <n v="0"/>
    <n v="0"/>
    <n v="0"/>
    <n v="22"/>
    <n v="11"/>
    <n v="11"/>
    <s v=""/>
    <n v="0"/>
  </r>
  <r>
    <s v="MMR015CMP215"/>
    <x v="0"/>
    <s v="Namhkan - Pang Long KBC"/>
    <s v="Namhkan"/>
    <n v="126"/>
    <n v="575"/>
    <n v="0"/>
    <n v="0"/>
    <n v="0"/>
    <n v="252"/>
    <n v="126"/>
    <n v="126"/>
    <s v=""/>
    <n v="0"/>
  </r>
  <r>
    <s v="MMR001CMP024"/>
    <x v="0"/>
    <s v="Nan Kway St. John Catholic Church"/>
    <s v="Myitkyina"/>
    <n v="58"/>
    <n v="308"/>
    <n v="0"/>
    <n v="0"/>
    <n v="0"/>
    <n v="116"/>
    <n v="58"/>
    <n v="58"/>
    <s v=""/>
    <n v="0"/>
  </r>
  <r>
    <s v="MMR001CMP054"/>
    <x v="0"/>
    <s v="Nant Hlaing Church"/>
    <s v="Bhamo"/>
    <n v="15"/>
    <n v="68"/>
    <n v="0"/>
    <n v="0"/>
    <n v="0"/>
    <n v="30"/>
    <n v="15"/>
    <n v="15"/>
    <s v=""/>
    <n v="0"/>
  </r>
  <r>
    <s v="MMR001CMP103"/>
    <x v="0"/>
    <s v="Nant Ma Hpit Catholic Church"/>
    <s v="Hpakant"/>
    <n v="49"/>
    <n v="230"/>
    <n v="0"/>
    <n v="0"/>
    <n v="0"/>
    <n v="98"/>
    <n v="49"/>
    <n v="49"/>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1"/>
    <n v="0"/>
    <n v="0"/>
    <n v="0"/>
    <n v="20"/>
    <n v="10"/>
    <n v="10"/>
    <s v=""/>
    <n v="0"/>
  </r>
  <r>
    <s v="MMR001CMP033"/>
    <x v="0"/>
    <s v="Nawng Hee Village"/>
    <s v="Waingmaw"/>
    <n v="20"/>
    <n v="86"/>
    <n v="0"/>
    <n v="0"/>
    <n v="0"/>
    <n v="40"/>
    <n v="20"/>
    <n v="20"/>
    <s v=""/>
    <n v="0"/>
  </r>
  <r>
    <s v="MMR001CMP152"/>
    <x v="0"/>
    <s v="Nawng Ing (Indawgyi) Baptist Church  "/>
    <s v="Mohnyin"/>
    <n v="24"/>
    <n v="115"/>
    <n v="0"/>
    <n v="0"/>
    <n v="0"/>
    <n v="48"/>
    <n v="24"/>
    <n v="24"/>
    <s v=""/>
    <n v="0"/>
  </r>
  <r>
    <s v="MMR001CMP059"/>
    <x v="0"/>
    <s v="Ni Thaw Ka Monestry"/>
    <s v="Momauk"/>
    <n v="0"/>
    <n v="0"/>
    <n v="0"/>
    <n v="0"/>
    <n v="0"/>
    <n v="0"/>
    <n v="0"/>
    <n v="0"/>
    <s v=""/>
    <n v="0"/>
  </r>
  <r>
    <s v="MMR001CMP002"/>
    <x v="0"/>
    <s v="Njang Dung Baptist Church "/>
    <s v="Myitkyina"/>
    <n v="67"/>
    <n v="296"/>
    <n v="0"/>
    <n v="0"/>
    <n v="0"/>
    <n v="134"/>
    <n v="67"/>
    <n v="67"/>
    <s v=""/>
    <n v="0"/>
  </r>
  <r>
    <s v="MMR001CMP162"/>
    <x v="0"/>
    <s v="Pa Dauk Myaing(Pa La Na)"/>
    <s v="Myitkyina"/>
    <n v="75"/>
    <n v="414"/>
    <n v="0"/>
    <n v="0"/>
    <n v="0"/>
    <n v="150"/>
    <n v="75"/>
    <n v="75"/>
    <s v=""/>
    <n v="0"/>
  </r>
  <r>
    <s v="MMR001CMP193"/>
    <x v="0"/>
    <s v="Phan Khar Kone"/>
    <s v="Bhamo"/>
    <n v="147"/>
    <n v="771"/>
    <n v="0"/>
    <n v="0"/>
    <n v="0"/>
    <n v="294"/>
    <n v="147"/>
    <n v="147"/>
    <s v=""/>
    <n v="0"/>
  </r>
  <r>
    <s v="MMR001CMP065"/>
    <x v="0"/>
    <s v="Phar Kay/Nant Waing "/>
    <s v="Momauk"/>
    <n v="0"/>
    <n v="0"/>
    <n v="0"/>
    <n v="0"/>
    <n v="0"/>
    <n v="0"/>
    <n v="0"/>
    <n v="0"/>
    <s v=""/>
    <n v="0"/>
  </r>
  <r>
    <s v="MMR001CMP032"/>
    <x v="0"/>
    <s v="Qtr. 2 Lhaovo Baptist Church"/>
    <s v="Waingmaw"/>
    <n v="119"/>
    <n v="483"/>
    <n v="0"/>
    <n v="0"/>
    <n v="0"/>
    <n v="238"/>
    <n v="119"/>
    <n v="119"/>
    <s v=""/>
    <n v="0"/>
  </r>
  <r>
    <s v="MMR001CMP025"/>
    <x v="0"/>
    <s v="Qtr. 2 Myoma Baptist Church"/>
    <s v="Waingmaw"/>
    <n v="63"/>
    <n v="321"/>
    <n v="0"/>
    <n v="0"/>
    <n v="0"/>
    <n v="126"/>
    <n v="63"/>
    <n v="63"/>
    <s v=""/>
    <n v="0"/>
  </r>
  <r>
    <s v="MMR001CMP030"/>
    <x v="0"/>
    <s v="Qtr. 3 Mu-yin  Baptist Church"/>
    <s v="Waingmaw"/>
    <n v="29"/>
    <n v="160"/>
    <n v="0"/>
    <n v="0"/>
    <n v="0"/>
    <n v="58"/>
    <n v="29"/>
    <n v="29"/>
    <s v=""/>
    <n v="0"/>
  </r>
  <r>
    <s v="MMR001CMP026"/>
    <x v="0"/>
    <s v="Qtr. 4 Monestry (Thargaya Thayett Taw)"/>
    <s v="Waingmaw"/>
    <n v="92"/>
    <n v="499"/>
    <n v="0"/>
    <n v="0"/>
    <n v="0"/>
    <n v="184"/>
    <n v="92"/>
    <n v="92"/>
    <s v=""/>
    <n v="0"/>
  </r>
  <r>
    <s v="MMR001CMP182"/>
    <x v="0"/>
    <s v="Rawan Baptist Church, Maw Shan Vil., Seik Mu"/>
    <s v="Hpakant"/>
    <n v="10"/>
    <n v="39"/>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18"/>
    <n v="569"/>
    <n v="0"/>
    <n v="0"/>
    <n v="0"/>
    <n v="236"/>
    <n v="118"/>
    <n v="118"/>
    <s v=""/>
    <n v="0"/>
  </r>
  <r>
    <s v="MMR001CMP007"/>
    <x v="0"/>
    <s v="Shatapru Thida Aye Baptist Church"/>
    <s v="Myitkyina"/>
    <n v="23"/>
    <n v="114"/>
    <n v="0"/>
    <n v="0"/>
    <n v="0"/>
    <n v="46"/>
    <n v="23"/>
    <n v="23"/>
    <s v=""/>
    <n v="0"/>
  </r>
  <r>
    <s v="MMR001CMP067"/>
    <x v="0"/>
    <s v="Shwe Gu Baptist Church"/>
    <s v="Shwegu"/>
    <n v="88"/>
    <n v="330"/>
    <n v="0"/>
    <n v="0"/>
    <n v="0"/>
    <n v="176"/>
    <n v="88"/>
    <n v="88"/>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3"/>
    <n v="406"/>
    <n v="0"/>
    <n v="0"/>
    <n v="0"/>
    <n v="146"/>
    <n v="73"/>
    <n v="73"/>
    <s v=""/>
    <n v="0"/>
  </r>
  <r>
    <s v="MMR001CMP023"/>
    <x v="0"/>
    <s v="Tat Kone COC Baptist - Tat Kone Htoi San"/>
    <s v="Myitkyina"/>
    <n v="57"/>
    <n v="281"/>
    <n v="0"/>
    <n v="0"/>
    <n v="0"/>
    <n v="114"/>
    <n v="57"/>
    <n v="57"/>
    <s v=""/>
    <n v="0"/>
  </r>
  <r>
    <s v="MMR001CMP004"/>
    <x v="0"/>
    <s v="Tat Kone Emanuel Church"/>
    <s v="Myitkyina"/>
    <n v="7"/>
    <n v="31"/>
    <n v="0"/>
    <n v="0"/>
    <n v="0"/>
    <n v="14"/>
    <n v="7"/>
    <n v="7"/>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2"/>
    <n v="0"/>
    <n v="0"/>
    <n v="0"/>
    <n v="92"/>
    <n v="46"/>
    <n v="46"/>
    <s v=""/>
    <n v="0"/>
  </r>
  <r>
    <s v="MMR001CMP224"/>
    <x v="0"/>
    <s v="Tharthana Ahlin Yaung New Monastery"/>
    <s v="Bhamo"/>
    <n v="0"/>
    <n v="0"/>
    <n v="0"/>
    <n v="0"/>
    <n v="0"/>
    <n v="0"/>
    <n v="0"/>
    <n v="0"/>
    <s v=""/>
    <n v="0"/>
  </r>
  <r>
    <s v="MMR001CMP038"/>
    <x v="0"/>
    <s v="Waingmaw AG Church"/>
    <s v="Waingmaw"/>
    <n v="69"/>
    <n v="290"/>
    <n v="0"/>
    <n v="0"/>
    <n v="0"/>
    <n v="138"/>
    <n v="69"/>
    <n v="69"/>
    <s v=""/>
    <n v="0"/>
  </r>
  <r>
    <s v="MMR001CMP036"/>
    <x v="0"/>
    <s v="Waingmaw Baptist Zonal Office"/>
    <s v="Waingmaw"/>
    <n v="0"/>
    <n v="0"/>
    <n v="0"/>
    <n v="0"/>
    <n v="0"/>
    <n v="0"/>
    <n v="0"/>
    <n v="0"/>
    <s v=""/>
    <n v="0"/>
  </r>
  <r>
    <s v="MMR001CMP184"/>
    <x v="0"/>
    <s v="Ward 2 Sai Taung Baptist Church, Seik Mu "/>
    <s v="Hpakant"/>
    <n v="32"/>
    <n v="180"/>
    <n v="0"/>
    <n v="0"/>
    <n v="0"/>
    <n v="64"/>
    <n v="32"/>
    <n v="32"/>
    <s v=""/>
    <n v="0"/>
  </r>
  <r>
    <s v="MMR001CMP116"/>
    <x v="0"/>
    <s v="Woi Chyai "/>
    <s v="Waingmaw"/>
    <n v="1433"/>
    <n v="7123"/>
    <n v="0"/>
    <n v="0"/>
    <n v="0"/>
    <n v="2866"/>
    <n v="1433"/>
    <n v="1433"/>
    <s v=""/>
    <n v="0"/>
  </r>
  <r>
    <s v="MMR001CMP022"/>
    <x v="0"/>
    <s v="Wun Tho Buddhist Monastery"/>
    <s v="Myitkyina"/>
    <n v="7"/>
    <n v="37"/>
    <n v="0"/>
    <n v="0"/>
    <n v="0"/>
    <n v="14"/>
    <n v="7"/>
    <n v="7"/>
    <s v=""/>
    <n v="0"/>
  </r>
  <r>
    <s v="MMR001CMP053"/>
    <x v="0"/>
    <s v="Yoe Kyi Monastery"/>
    <s v="Bhamo"/>
    <n v="14"/>
    <n v="77"/>
    <n v="0"/>
    <n v="0"/>
    <n v="0"/>
    <n v="28"/>
    <n v="14"/>
    <n v="14"/>
    <s v=""/>
    <n v="0"/>
  </r>
  <r>
    <s v="MMR001CMP105"/>
    <x v="0"/>
    <s v="Yumar Baptist Church"/>
    <s v="Hpakant"/>
    <n v="16"/>
    <n v="66"/>
    <n v="0"/>
    <n v="0"/>
    <n v="0"/>
    <n v="32"/>
    <n v="16"/>
    <n v="16"/>
    <s v=""/>
    <n v="0"/>
  </r>
</pivotCacheRecords>
</file>

<file path=xl/pivotCache/pivotCacheRecords4.xml><?xml version="1.0" encoding="utf-8"?>
<pivotCacheRecords xmlns="http://schemas.openxmlformats.org/spreadsheetml/2006/main" xmlns:r="http://schemas.openxmlformats.org/officeDocument/2006/relationships" count="275">
  <r>
    <x v="0"/>
    <x v="0"/>
    <x v="0"/>
    <s v="KBC"/>
    <s v="Kachin"/>
    <x v="0"/>
    <s v="Maina KBC (Bawng Ring)"/>
    <m/>
    <m/>
    <m/>
    <m/>
    <m/>
    <m/>
    <m/>
    <m/>
    <m/>
    <m/>
    <m/>
    <m/>
    <m/>
    <m/>
    <m/>
    <m/>
    <m/>
    <m/>
    <m/>
    <n v="17"/>
    <e v="#REF!"/>
    <e v="#REF!"/>
    <e v="#REF!"/>
    <m/>
    <m/>
    <m/>
    <m/>
    <m/>
    <m/>
    <m/>
    <m/>
    <m/>
    <m/>
    <n v="0"/>
    <m/>
    <m/>
    <m/>
    <s v="MMR001CMP040"/>
    <s v="Update date: 27/April/2017. Data source: Programme Unit_UNHCR"/>
  </r>
  <r>
    <x v="1"/>
    <x v="0"/>
    <x v="0"/>
    <s v="KMSS_Myitkyina"/>
    <s v="Kachin"/>
    <x v="1"/>
    <s v="Jan Mai Kawng Catholic Church"/>
    <m/>
    <m/>
    <m/>
    <n v="1"/>
    <n v="1"/>
    <n v="4"/>
    <n v="1"/>
    <n v="4"/>
    <n v="1"/>
    <m/>
    <n v="1"/>
    <n v="4"/>
    <m/>
    <m/>
    <m/>
    <m/>
    <n v="1"/>
    <m/>
    <m/>
    <m/>
    <m/>
    <m/>
    <m/>
    <m/>
    <m/>
    <m/>
    <m/>
    <m/>
    <m/>
    <m/>
    <m/>
    <m/>
    <m/>
    <m/>
    <m/>
    <m/>
    <m/>
    <s v="MMR001CMP019"/>
    <s v="Update date: 27/April/2017. Data source: Programme Unit_UNHCR"/>
  </r>
  <r>
    <x v="1"/>
    <x v="0"/>
    <x v="0"/>
    <s v="KMSS_Myitkyina"/>
    <s v="Kachin"/>
    <x v="0"/>
    <s v="Maina Catholic Church (St. Joseph)"/>
    <m/>
    <m/>
    <m/>
    <n v="6"/>
    <n v="6"/>
    <n v="10"/>
    <n v="6"/>
    <n v="18"/>
    <n v="6"/>
    <m/>
    <n v="6"/>
    <n v="17"/>
    <m/>
    <m/>
    <m/>
    <m/>
    <n v="6"/>
    <m/>
    <m/>
    <m/>
    <m/>
    <m/>
    <m/>
    <m/>
    <m/>
    <m/>
    <m/>
    <m/>
    <m/>
    <m/>
    <m/>
    <m/>
    <m/>
    <m/>
    <m/>
    <m/>
    <m/>
    <s v="MMR001CMP029"/>
    <s v="Update date: 27/April/2017. Data source: Programme Unit_UNHCR"/>
  </r>
  <r>
    <x v="2"/>
    <x v="0"/>
    <x v="0"/>
    <s v="KBC"/>
    <s v="Kachin"/>
    <x v="2"/>
    <s v="Man Kawng Baptist Church"/>
    <m/>
    <m/>
    <m/>
    <n v="15"/>
    <n v="15"/>
    <n v="15"/>
    <n v="15"/>
    <n v="15"/>
    <n v="15"/>
    <m/>
    <n v="15"/>
    <n v="30"/>
    <m/>
    <m/>
    <m/>
    <m/>
    <n v="15"/>
    <m/>
    <m/>
    <n v="15"/>
    <e v="#REF!"/>
    <e v="#REF!"/>
    <e v="#REF!"/>
    <m/>
    <m/>
    <m/>
    <m/>
    <m/>
    <m/>
    <m/>
    <m/>
    <m/>
    <m/>
    <n v="0"/>
    <m/>
    <m/>
    <m/>
    <s v="MMR001CMP212"/>
    <s v="Update date: 27/April/2017. Data source: Programme Unit_UNHCR"/>
  </r>
  <r>
    <x v="2"/>
    <x v="0"/>
    <x v="1"/>
    <s v="Solidarites"/>
    <s v="Kachin"/>
    <x v="2"/>
    <s v="Maing Khaung"/>
    <m/>
    <n v="15"/>
    <m/>
    <m/>
    <n v="135"/>
    <m/>
    <m/>
    <m/>
    <m/>
    <m/>
    <n v="15"/>
    <m/>
    <m/>
    <m/>
    <m/>
    <m/>
    <n v="15"/>
    <m/>
    <m/>
    <m/>
    <e v="#REF!"/>
    <e v="#REF!"/>
    <e v="#REF!"/>
    <m/>
    <m/>
    <m/>
    <m/>
    <m/>
    <m/>
    <m/>
    <m/>
    <m/>
    <m/>
    <n v="0"/>
    <m/>
    <m/>
    <m/>
    <s v="MMR001CMP218"/>
    <s v="Update date: 15/May/2017. Data source: SI "/>
  </r>
  <r>
    <x v="3"/>
    <x v="0"/>
    <x v="1"/>
    <s v="Solidarites"/>
    <s v="Kachin"/>
    <x v="3"/>
    <s v="Hpun Lum Yang "/>
    <m/>
    <n v="73"/>
    <m/>
    <n v="73"/>
    <n v="657"/>
    <n v="146"/>
    <m/>
    <n v="146"/>
    <m/>
    <m/>
    <n v="73"/>
    <n v="146"/>
    <m/>
    <m/>
    <m/>
    <m/>
    <n v="73"/>
    <m/>
    <m/>
    <m/>
    <e v="#REF!"/>
    <e v="#REF!"/>
    <e v="#REF!"/>
    <m/>
    <m/>
    <m/>
    <m/>
    <m/>
    <m/>
    <m/>
    <m/>
    <m/>
    <m/>
    <n v="0"/>
    <m/>
    <m/>
    <m/>
    <s v="MMR001CMP122"/>
    <s v="Update date: 15/May/2017. Data source: SI "/>
  </r>
  <r>
    <x v="3"/>
    <x v="0"/>
    <x v="1"/>
    <s v="Solidarites"/>
    <s v="Kachin"/>
    <x v="0"/>
    <s v="Woi Chyai "/>
    <m/>
    <n v="10"/>
    <m/>
    <n v="10"/>
    <n v="90"/>
    <n v="20"/>
    <m/>
    <n v="20"/>
    <m/>
    <m/>
    <n v="10"/>
    <n v="20"/>
    <m/>
    <m/>
    <m/>
    <m/>
    <n v="10"/>
    <m/>
    <m/>
    <m/>
    <e v="#REF!"/>
    <e v="#REF!"/>
    <e v="#REF!"/>
    <m/>
    <m/>
    <m/>
    <m/>
    <m/>
    <m/>
    <m/>
    <m/>
    <m/>
    <m/>
    <n v="0"/>
    <m/>
    <m/>
    <m/>
    <s v="MMR001CMP116"/>
    <s v="Update date: 15/May/2017. Data source: SI "/>
  </r>
  <r>
    <x v="4"/>
    <x v="0"/>
    <x v="0"/>
    <s v="KMSS_Myitkyina"/>
    <s v="Kachin"/>
    <x v="0"/>
    <s v="Maina Catholic Church (St. Joseph)"/>
    <m/>
    <m/>
    <m/>
    <n v="9"/>
    <n v="9"/>
    <n v="35"/>
    <n v="9"/>
    <n v="35"/>
    <n v="9"/>
    <m/>
    <n v="9"/>
    <n v="35"/>
    <m/>
    <m/>
    <m/>
    <m/>
    <n v="9"/>
    <m/>
    <m/>
    <n v="9"/>
    <e v="#REF!"/>
    <e v="#REF!"/>
    <e v="#REF!"/>
    <m/>
    <m/>
    <m/>
    <m/>
    <m/>
    <m/>
    <m/>
    <m/>
    <m/>
    <m/>
    <n v="0"/>
    <m/>
    <m/>
    <m/>
    <s v="MMR001CMP029"/>
    <s v="Update date: 27/April/2017. Data source: Programme Unit_UNHCR"/>
  </r>
  <r>
    <x v="5"/>
    <x v="0"/>
    <x v="0"/>
    <s v="Shalom"/>
    <s v="Kachin"/>
    <x v="0"/>
    <s v="Maina AG Church"/>
    <m/>
    <m/>
    <m/>
    <n v="5"/>
    <n v="5"/>
    <n v="21"/>
    <n v="5"/>
    <n v="21"/>
    <n v="5"/>
    <m/>
    <n v="5"/>
    <n v="21"/>
    <m/>
    <m/>
    <m/>
    <m/>
    <n v="5"/>
    <m/>
    <m/>
    <m/>
    <e v="#REF!"/>
    <e v="#REF!"/>
    <e v="#REF!"/>
    <m/>
    <m/>
    <m/>
    <m/>
    <m/>
    <m/>
    <m/>
    <m/>
    <m/>
    <m/>
    <n v="0"/>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s v="MMR001CMP032"/>
    <s v="Update date: 27/April/2017. Data source: Programme Unit_UNHCR"/>
  </r>
  <r>
    <x v="5"/>
    <x v="0"/>
    <x v="0"/>
    <s v="Shalom"/>
    <s v="Kachin"/>
    <x v="0"/>
    <s v="Waingmaw AG Church"/>
    <m/>
    <m/>
    <m/>
    <n v="6"/>
    <n v="6"/>
    <n v="17"/>
    <n v="6"/>
    <n v="17"/>
    <n v="6"/>
    <m/>
    <n v="6"/>
    <n v="17"/>
    <m/>
    <m/>
    <m/>
    <m/>
    <n v="6"/>
    <m/>
    <m/>
    <m/>
    <e v="#REF!"/>
    <e v="#REF!"/>
    <e v="#REF!"/>
    <m/>
    <m/>
    <m/>
    <m/>
    <m/>
    <m/>
    <m/>
    <m/>
    <m/>
    <m/>
    <n v="0"/>
    <m/>
    <m/>
    <m/>
    <s v="MMR001CMP038"/>
    <s v="Update date: 27/April/2017. Data source: Programme Unit_UNHCR"/>
  </r>
  <r>
    <x v="5"/>
    <x v="0"/>
    <x v="0"/>
    <s v="Shalom"/>
    <s v="Kachin"/>
    <x v="0"/>
    <s v="Thargaya Lisu Baptist Church"/>
    <m/>
    <m/>
    <m/>
    <n v="1"/>
    <n v="1"/>
    <n v="4"/>
    <n v="1"/>
    <n v="4"/>
    <n v="1"/>
    <m/>
    <n v="1"/>
    <n v="4"/>
    <m/>
    <m/>
    <m/>
    <m/>
    <n v="1"/>
    <m/>
    <m/>
    <m/>
    <e v="#REF!"/>
    <e v="#REF!"/>
    <e v="#REF!"/>
    <m/>
    <m/>
    <m/>
    <m/>
    <m/>
    <m/>
    <m/>
    <m/>
    <m/>
    <m/>
    <n v="0"/>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s v="MMR001CMP212"/>
    <s v="Update date: 27/April/2017. Data source: Programme Unit_UNHCR"/>
  </r>
  <r>
    <x v="6"/>
    <x v="0"/>
    <x v="1"/>
    <s v="Solidarites"/>
    <s v="Kachin"/>
    <x v="0"/>
    <s v="Je Yang Hka "/>
    <m/>
    <n v="38"/>
    <m/>
    <n v="38"/>
    <n v="342"/>
    <n v="76"/>
    <m/>
    <n v="76"/>
    <m/>
    <m/>
    <n v="38"/>
    <n v="76"/>
    <m/>
    <m/>
    <m/>
    <m/>
    <n v="38"/>
    <m/>
    <m/>
    <m/>
    <m/>
    <m/>
    <m/>
    <m/>
    <m/>
    <m/>
    <m/>
    <m/>
    <m/>
    <m/>
    <m/>
    <m/>
    <m/>
    <n v="0"/>
    <m/>
    <m/>
    <m/>
    <s v="MMR001CMP121"/>
    <s v="Update date: 15/May/2017. Data source: SI "/>
  </r>
  <r>
    <x v="6"/>
    <x v="0"/>
    <x v="0"/>
    <s v="KMSS_Bhamo"/>
    <s v="Kachin"/>
    <x v="2"/>
    <s v="Man Kawng Catholic Church"/>
    <m/>
    <m/>
    <m/>
    <n v="24"/>
    <n v="25"/>
    <n v="45"/>
    <n v="25"/>
    <n v="45"/>
    <n v="25"/>
    <m/>
    <n v="25"/>
    <n v="83"/>
    <m/>
    <m/>
    <m/>
    <m/>
    <n v="25"/>
    <m/>
    <m/>
    <m/>
    <m/>
    <m/>
    <m/>
    <m/>
    <m/>
    <m/>
    <m/>
    <m/>
    <m/>
    <m/>
    <m/>
    <m/>
    <m/>
    <n v="0"/>
    <m/>
    <m/>
    <m/>
    <s v="MMR001CMP213"/>
    <s v="Data source: KMSS_Bhamo. Data was received when the camps status was changed as &quot;Closed&quot;"/>
  </r>
  <r>
    <x v="6"/>
    <x v="0"/>
    <x v="0"/>
    <s v="KMSS_Bhamo"/>
    <s v="Kachin"/>
    <x v="2"/>
    <s v="Man Kawng Catholic Church"/>
    <m/>
    <m/>
    <m/>
    <n v="24"/>
    <n v="25"/>
    <n v="45"/>
    <n v="25"/>
    <n v="45"/>
    <n v="25"/>
    <m/>
    <n v="25"/>
    <n v="83"/>
    <m/>
    <m/>
    <m/>
    <m/>
    <m/>
    <m/>
    <m/>
    <m/>
    <m/>
    <m/>
    <m/>
    <m/>
    <m/>
    <m/>
    <m/>
    <m/>
    <m/>
    <m/>
    <m/>
    <m/>
    <m/>
    <n v="0"/>
    <m/>
    <m/>
    <m/>
    <s v="MMR001CMP213"/>
    <s v="Data source: KMSS_Bhamo. Data was received when the camps status was changed as &quot;Closed&quot;"/>
  </r>
  <r>
    <x v="7"/>
    <x v="0"/>
    <x v="0"/>
    <s v="KBC"/>
    <s v="Kachin"/>
    <x v="0"/>
    <s v="Maina KBC (Bawng Ring)"/>
    <m/>
    <m/>
    <m/>
    <n v="6"/>
    <n v="6"/>
    <n v="18"/>
    <n v="6"/>
    <n v="24"/>
    <n v="6"/>
    <m/>
    <n v="6"/>
    <n v="24"/>
    <m/>
    <m/>
    <m/>
    <m/>
    <n v="6"/>
    <m/>
    <m/>
    <n v="6"/>
    <m/>
    <m/>
    <m/>
    <m/>
    <m/>
    <m/>
    <m/>
    <m/>
    <m/>
    <m/>
    <m/>
    <m/>
    <m/>
    <n v="0"/>
    <m/>
    <m/>
    <m/>
    <s v="MMR001CMP040"/>
    <s v="Update date: 27/April/2017. Data source: Programme Unit_UNHCR"/>
  </r>
  <r>
    <x v="8"/>
    <x v="0"/>
    <x v="0"/>
    <s v="KMSS_Myitkyina"/>
    <s v="Kachin"/>
    <x v="0"/>
    <s v="Maina Catholic Church (St. Joseph)"/>
    <m/>
    <m/>
    <m/>
    <m/>
    <m/>
    <m/>
    <m/>
    <m/>
    <m/>
    <m/>
    <m/>
    <m/>
    <m/>
    <m/>
    <m/>
    <m/>
    <m/>
    <m/>
    <m/>
    <n v="10"/>
    <m/>
    <m/>
    <m/>
    <m/>
    <m/>
    <m/>
    <m/>
    <m/>
    <m/>
    <m/>
    <m/>
    <m/>
    <m/>
    <n v="0"/>
    <m/>
    <m/>
    <m/>
    <s v="MMR001CMP029"/>
    <s v="Update date: 27/April/2017. Data source: Programme Unit_UNHCR"/>
  </r>
  <r>
    <x v="9"/>
    <x v="0"/>
    <x v="0"/>
    <s v="KMSS_Myitkyina"/>
    <s v="Kachin"/>
    <x v="1"/>
    <s v="Pa Dauk Myaing(Pa La Na)"/>
    <m/>
    <m/>
    <m/>
    <n v="1"/>
    <n v="1"/>
    <n v="3"/>
    <n v="1"/>
    <n v="3"/>
    <n v="1"/>
    <m/>
    <n v="1"/>
    <n v="3"/>
    <m/>
    <m/>
    <m/>
    <m/>
    <n v="1"/>
    <m/>
    <m/>
    <m/>
    <m/>
    <m/>
    <m/>
    <m/>
    <m/>
    <m/>
    <m/>
    <m/>
    <m/>
    <m/>
    <m/>
    <m/>
    <m/>
    <n v="0"/>
    <m/>
    <m/>
    <m/>
    <s v="MMR001CMP162"/>
    <s v="Update date: 24/April/2017. Data source: KMSS_Myitkyina/under Feb_2017_CAR"/>
  </r>
  <r>
    <x v="9"/>
    <x v="0"/>
    <x v="0"/>
    <s v="KMSS_Myitkyina"/>
    <s v="Kachin"/>
    <x v="0"/>
    <s v="Maina Catholic Church (St. Joseph)"/>
    <m/>
    <m/>
    <m/>
    <n v="22"/>
    <n v="22"/>
    <n v="76"/>
    <n v="22"/>
    <n v="76"/>
    <n v="22"/>
    <m/>
    <n v="22"/>
    <n v="76"/>
    <m/>
    <m/>
    <m/>
    <m/>
    <n v="22"/>
    <m/>
    <m/>
    <m/>
    <m/>
    <m/>
    <m/>
    <m/>
    <m/>
    <m/>
    <m/>
    <m/>
    <m/>
    <m/>
    <m/>
    <m/>
    <m/>
    <n v="0"/>
    <m/>
    <m/>
    <m/>
    <s v="MMR001CMP029"/>
    <s v="Update date: 27/April/2017. Data source: Programme Unit_UNHCR"/>
  </r>
  <r>
    <x v="10"/>
    <x v="1"/>
    <x v="0"/>
    <s v="KBC"/>
    <s v="Kachin"/>
    <x v="4"/>
    <s v="Shwe Gu Baptist Church"/>
    <m/>
    <m/>
    <m/>
    <m/>
    <n v="50"/>
    <m/>
    <m/>
    <m/>
    <m/>
    <m/>
    <m/>
    <m/>
    <m/>
    <m/>
    <m/>
    <m/>
    <m/>
    <m/>
    <m/>
    <m/>
    <m/>
    <m/>
    <m/>
    <m/>
    <m/>
    <m/>
    <m/>
    <m/>
    <m/>
    <m/>
    <m/>
    <m/>
    <m/>
    <n v="0"/>
    <m/>
    <m/>
    <m/>
    <s v="MMR001CMP067"/>
    <s v="Update date: 27/April/2017. Data source: Programme Unit_UNHCR"/>
  </r>
  <r>
    <x v="11"/>
    <x v="1"/>
    <x v="0"/>
    <s v="KMSS_Bhamo"/>
    <s v="Kachin"/>
    <x v="2"/>
    <s v="Maing Khaung Catholic Church"/>
    <m/>
    <m/>
    <m/>
    <n v="25"/>
    <n v="25"/>
    <n v="25"/>
    <n v="25"/>
    <n v="45"/>
    <n v="25"/>
    <m/>
    <n v="25"/>
    <n v="83"/>
    <m/>
    <m/>
    <m/>
    <m/>
    <n v="25"/>
    <m/>
    <m/>
    <m/>
    <m/>
    <m/>
    <m/>
    <m/>
    <m/>
    <m/>
    <m/>
    <m/>
    <m/>
    <m/>
    <m/>
    <m/>
    <m/>
    <n v="0"/>
    <m/>
    <m/>
    <m/>
    <s v="MMR001CMP223"/>
    <s v="Update date: 27/April/2017. Data source: Programme Unit_UNHCR"/>
  </r>
  <r>
    <x v="12"/>
    <x v="1"/>
    <x v="0"/>
    <s v="KBC"/>
    <s v="Kachin"/>
    <x v="0"/>
    <s v="Maina KBC (Bawng Ring)"/>
    <m/>
    <m/>
    <m/>
    <n v="17"/>
    <n v="17"/>
    <n v="114"/>
    <n v="17"/>
    <n v="174"/>
    <n v="17"/>
    <m/>
    <n v="17"/>
    <n v="188"/>
    <m/>
    <m/>
    <m/>
    <m/>
    <n v="17"/>
    <m/>
    <m/>
    <n v="49"/>
    <m/>
    <m/>
    <m/>
    <m/>
    <m/>
    <m/>
    <m/>
    <m/>
    <m/>
    <m/>
    <m/>
    <m/>
    <m/>
    <n v="0"/>
    <m/>
    <m/>
    <m/>
    <s v="MMR001CMP040"/>
    <s v="Update date: 27/April/2017. Data source: Programme Unit_UNHCR"/>
  </r>
  <r>
    <x v="13"/>
    <x v="1"/>
    <x v="0"/>
    <s v="KBC"/>
    <s v="Kachin"/>
    <x v="1"/>
    <s v="Shatapru Thida Aye Baptist Church"/>
    <m/>
    <m/>
    <m/>
    <n v="4"/>
    <n v="4"/>
    <n v="10"/>
    <n v="4"/>
    <n v="14"/>
    <n v="4"/>
    <m/>
    <n v="4"/>
    <n v="14"/>
    <m/>
    <m/>
    <m/>
    <m/>
    <n v="4"/>
    <m/>
    <m/>
    <m/>
    <m/>
    <m/>
    <m/>
    <m/>
    <m/>
    <m/>
    <m/>
    <m/>
    <m/>
    <m/>
    <m/>
    <m/>
    <m/>
    <n v="0"/>
    <m/>
    <m/>
    <m/>
    <s v="MMR001CMP007"/>
    <s v="Update date: 27/April/2017. Data source: Programme Unit_UNHCR"/>
  </r>
  <r>
    <x v="13"/>
    <x v="1"/>
    <x v="0"/>
    <s v="KBC"/>
    <s v="Kachin"/>
    <x v="1"/>
    <s v="Njang Dung Baptist Church "/>
    <m/>
    <m/>
    <m/>
    <n v="4"/>
    <n v="4"/>
    <n v="8"/>
    <n v="4"/>
    <n v="11"/>
    <n v="4"/>
    <m/>
    <n v="4"/>
    <n v="11"/>
    <m/>
    <m/>
    <m/>
    <m/>
    <n v="4"/>
    <m/>
    <m/>
    <m/>
    <m/>
    <m/>
    <m/>
    <m/>
    <m/>
    <m/>
    <m/>
    <m/>
    <m/>
    <m/>
    <m/>
    <m/>
    <m/>
    <n v="0"/>
    <m/>
    <m/>
    <m/>
    <s v="MMR001CMP002"/>
    <s v="Update date: 27/April/2017. Data source: Programme Unit_UNHCR"/>
  </r>
  <r>
    <x v="13"/>
    <x v="1"/>
    <x v="0"/>
    <s v="KBC"/>
    <s v="Kachin"/>
    <x v="1"/>
    <s v="Tat Kone Galile Baptist Church"/>
    <m/>
    <m/>
    <m/>
    <n v="1"/>
    <n v="1"/>
    <n v="2"/>
    <n v="1"/>
    <n v="3"/>
    <n v="1"/>
    <m/>
    <n v="1"/>
    <n v="3"/>
    <m/>
    <m/>
    <m/>
    <m/>
    <n v="1"/>
    <m/>
    <m/>
    <m/>
    <m/>
    <m/>
    <m/>
    <m/>
    <m/>
    <m/>
    <m/>
    <m/>
    <m/>
    <m/>
    <m/>
    <m/>
    <m/>
    <n v="0"/>
    <m/>
    <m/>
    <m/>
    <s v="MMR001CMP003"/>
    <s v="Update date: 27/April/2017. Data source: Programme Unit_UNHCR"/>
  </r>
  <r>
    <x v="13"/>
    <x v="1"/>
    <x v="0"/>
    <s v="KBC"/>
    <s v="Kachin"/>
    <x v="1"/>
    <s v="Tat Kone San Pya Baptist Church"/>
    <m/>
    <m/>
    <m/>
    <n v="1"/>
    <n v="1"/>
    <n v="3"/>
    <n v="1"/>
    <n v="4"/>
    <n v="1"/>
    <m/>
    <n v="1"/>
    <n v="4"/>
    <m/>
    <m/>
    <m/>
    <m/>
    <n v="1"/>
    <m/>
    <m/>
    <m/>
    <m/>
    <m/>
    <m/>
    <m/>
    <m/>
    <m/>
    <m/>
    <m/>
    <m/>
    <m/>
    <m/>
    <m/>
    <m/>
    <n v="0"/>
    <m/>
    <m/>
    <m/>
    <s v="MMR001CMP005"/>
    <s v="Update date: 27/April/2017. Data source: Programme Unit_UNHCR"/>
  </r>
  <r>
    <x v="13"/>
    <x v="1"/>
    <x v="0"/>
    <s v="Shalom"/>
    <s v="Kachin"/>
    <x v="5"/>
    <s v="Mu-yin Baptist Church"/>
    <m/>
    <m/>
    <m/>
    <m/>
    <m/>
    <m/>
    <n v="8"/>
    <m/>
    <m/>
    <m/>
    <m/>
    <m/>
    <m/>
    <m/>
    <m/>
    <m/>
    <m/>
    <m/>
    <m/>
    <m/>
    <m/>
    <m/>
    <m/>
    <m/>
    <m/>
    <m/>
    <m/>
    <m/>
    <m/>
    <m/>
    <m/>
    <m/>
    <m/>
    <n v="0"/>
    <m/>
    <m/>
    <m/>
    <s v="MMR001CMP051"/>
    <s v="Update date: 27/April/2017. Data source: Programme Unit_UNHCR"/>
  </r>
  <r>
    <x v="14"/>
    <x v="1"/>
    <x v="0"/>
    <s v="KBC"/>
    <s v="Kachin"/>
    <x v="1"/>
    <s v="Le Kone Bethlehem Church"/>
    <m/>
    <m/>
    <m/>
    <n v="3"/>
    <n v="3"/>
    <n v="5"/>
    <n v="3"/>
    <n v="8"/>
    <n v="3"/>
    <m/>
    <n v="3"/>
    <n v="8"/>
    <m/>
    <m/>
    <m/>
    <m/>
    <n v="3"/>
    <m/>
    <m/>
    <m/>
    <m/>
    <m/>
    <m/>
    <m/>
    <m/>
    <m/>
    <m/>
    <m/>
    <m/>
    <m/>
    <m/>
    <m/>
    <m/>
    <n v="0"/>
    <m/>
    <m/>
    <m/>
    <s v="MMR001CMP015"/>
    <s v="Update date: 27/April/2017. Data source: Programme Unit_UNHCR"/>
  </r>
  <r>
    <x v="14"/>
    <x v="1"/>
    <x v="0"/>
    <s v="KBC"/>
    <s v="Kachin"/>
    <x v="1"/>
    <s v="Jan Mai Kawng Baptist Church"/>
    <m/>
    <m/>
    <m/>
    <n v="1"/>
    <n v="1"/>
    <n v="2"/>
    <n v="1"/>
    <n v="3"/>
    <n v="1"/>
    <m/>
    <n v="1"/>
    <n v="3"/>
    <m/>
    <m/>
    <m/>
    <m/>
    <n v="1"/>
    <m/>
    <m/>
    <m/>
    <m/>
    <m/>
    <m/>
    <m/>
    <m/>
    <m/>
    <m/>
    <m/>
    <m/>
    <m/>
    <m/>
    <m/>
    <m/>
    <n v="0"/>
    <m/>
    <m/>
    <m/>
    <s v="MMR001CMP018"/>
    <s v="Update date: 27/April/2017. Data source: Programme Unit_UNHCR"/>
  </r>
  <r>
    <x v="14"/>
    <x v="1"/>
    <x v="0"/>
    <s v="KBC"/>
    <s v="Kachin"/>
    <x v="1"/>
    <s v="Kyun Pin Thar Baptist Church"/>
    <m/>
    <m/>
    <m/>
    <n v="3"/>
    <n v="3"/>
    <n v="9"/>
    <n v="3"/>
    <n v="17"/>
    <n v="3"/>
    <m/>
    <n v="3"/>
    <n v="17"/>
    <m/>
    <m/>
    <m/>
    <m/>
    <n v="3"/>
    <m/>
    <m/>
    <m/>
    <m/>
    <m/>
    <m/>
    <m/>
    <m/>
    <m/>
    <m/>
    <m/>
    <m/>
    <m/>
    <m/>
    <m/>
    <m/>
    <n v="0"/>
    <m/>
    <m/>
    <m/>
    <s v="MMR001CMP013"/>
    <s v="Update date: 27/April/2017. Data source: Programme Unit_UNHCR"/>
  </r>
  <r>
    <x v="14"/>
    <x v="1"/>
    <x v="0"/>
    <s v="KBC"/>
    <s v="Kachin"/>
    <x v="1"/>
    <s v="Man Hkring Baptist Church"/>
    <m/>
    <m/>
    <m/>
    <n v="1"/>
    <n v="1"/>
    <n v="2"/>
    <n v="1"/>
    <n v="3"/>
    <n v="1"/>
    <m/>
    <n v="1"/>
    <n v="3"/>
    <m/>
    <m/>
    <m/>
    <m/>
    <n v="1"/>
    <m/>
    <m/>
    <m/>
    <m/>
    <m/>
    <m/>
    <m/>
    <m/>
    <m/>
    <m/>
    <m/>
    <m/>
    <m/>
    <m/>
    <m/>
    <m/>
    <n v="0"/>
    <m/>
    <m/>
    <m/>
    <s v="MMR001CMP008"/>
    <s v="Update date: 27/April/2017. Data source: Programme Unit_UNHCR"/>
  </r>
  <r>
    <x v="14"/>
    <x v="1"/>
    <x v="0"/>
    <s v="KBC"/>
    <s v="Kachin"/>
    <x v="1"/>
    <s v="Maliyang Baptist Church"/>
    <m/>
    <m/>
    <m/>
    <n v="1"/>
    <n v="1"/>
    <n v="2"/>
    <n v="1"/>
    <n v="3"/>
    <n v="1"/>
    <m/>
    <n v="1"/>
    <n v="3"/>
    <m/>
    <m/>
    <m/>
    <m/>
    <n v="1"/>
    <m/>
    <m/>
    <m/>
    <m/>
    <m/>
    <m/>
    <m/>
    <m/>
    <m/>
    <m/>
    <m/>
    <m/>
    <m/>
    <m/>
    <m/>
    <m/>
    <n v="0"/>
    <m/>
    <m/>
    <m/>
    <s v="MMR001CMP016"/>
    <s v="Update date: 27/April/2017. Data source: Programme Unit_UNHCR"/>
  </r>
  <r>
    <x v="15"/>
    <x v="1"/>
    <x v="0"/>
    <s v="KBC"/>
    <s v="Kachin"/>
    <x v="2"/>
    <s v="Maing Khaung"/>
    <m/>
    <m/>
    <m/>
    <n v="4"/>
    <n v="4"/>
    <n v="7"/>
    <n v="4"/>
    <n v="7"/>
    <n v="4"/>
    <m/>
    <n v="4"/>
    <n v="14"/>
    <m/>
    <m/>
    <m/>
    <m/>
    <n v="4"/>
    <m/>
    <m/>
    <m/>
    <m/>
    <m/>
    <m/>
    <m/>
    <m/>
    <m/>
    <m/>
    <m/>
    <m/>
    <m/>
    <m/>
    <m/>
    <m/>
    <n v="0"/>
    <m/>
    <m/>
    <m/>
    <s v="MMR001CMP218"/>
    <s v="Update date: 27/April/2017. Data source: Programme Unit_UNHCR"/>
  </r>
  <r>
    <x v="15"/>
    <x v="1"/>
    <x v="1"/>
    <s v="Solidarites"/>
    <s v="Kachin"/>
    <x v="2"/>
    <s v="Maing Khaung"/>
    <m/>
    <n v="2"/>
    <m/>
    <m/>
    <n v="18"/>
    <m/>
    <m/>
    <m/>
    <m/>
    <m/>
    <n v="2"/>
    <m/>
    <m/>
    <m/>
    <m/>
    <m/>
    <n v="2"/>
    <m/>
    <m/>
    <m/>
    <m/>
    <m/>
    <m/>
    <m/>
    <m/>
    <m/>
    <m/>
    <m/>
    <m/>
    <m/>
    <m/>
    <m/>
    <m/>
    <n v="0"/>
    <m/>
    <m/>
    <m/>
    <s v="MMR001CMP218"/>
    <s v="Update date: 15/May/2017. Data source: SI and confirmed by CCCM unit."/>
  </r>
  <r>
    <x v="15"/>
    <x v="1"/>
    <x v="0"/>
    <s v="KMSS_Bhamo"/>
    <s v="Kachin"/>
    <x v="2"/>
    <s v="Maing Khaung Catholic Church"/>
    <m/>
    <m/>
    <m/>
    <n v="1"/>
    <n v="1"/>
    <n v="2"/>
    <n v="1"/>
    <n v="2"/>
    <n v="1"/>
    <m/>
    <n v="1"/>
    <n v="3"/>
    <m/>
    <m/>
    <m/>
    <m/>
    <n v="1"/>
    <m/>
    <m/>
    <m/>
    <m/>
    <m/>
    <m/>
    <m/>
    <m/>
    <m/>
    <m/>
    <m/>
    <m/>
    <m/>
    <m/>
    <m/>
    <m/>
    <n v="0"/>
    <m/>
    <m/>
    <m/>
    <s v="MMR001CMP223"/>
    <s v="Update date: 27/April/2017. Data source: Programme Unit_UNHCR"/>
  </r>
  <r>
    <x v="16"/>
    <x v="1"/>
    <x v="0"/>
    <s v="KBC"/>
    <s v="Kachin"/>
    <x v="6"/>
    <s v="Shar Du Zut KBC church "/>
    <m/>
    <m/>
    <m/>
    <m/>
    <m/>
    <m/>
    <m/>
    <m/>
    <m/>
    <m/>
    <m/>
    <m/>
    <n v="62"/>
    <n v="33"/>
    <m/>
    <m/>
    <m/>
    <m/>
    <m/>
    <m/>
    <m/>
    <m/>
    <m/>
    <m/>
    <m/>
    <m/>
    <m/>
    <m/>
    <m/>
    <m/>
    <m/>
    <m/>
    <m/>
    <n v="1"/>
    <m/>
    <m/>
    <m/>
    <s v="MMR001CMP244"/>
    <s v="Update date: 27/April/2017. Data source: Programme Unit_UNHCR"/>
  </r>
  <r>
    <x v="17"/>
    <x v="2"/>
    <x v="1"/>
    <s v="Solidarites"/>
    <s v="Kachin"/>
    <x v="0"/>
    <s v="Hka Shi"/>
    <m/>
    <n v="55"/>
    <m/>
    <m/>
    <n v="495"/>
    <m/>
    <m/>
    <m/>
    <m/>
    <m/>
    <n v="55"/>
    <m/>
    <m/>
    <m/>
    <m/>
    <m/>
    <n v="55"/>
    <m/>
    <m/>
    <m/>
    <m/>
    <m/>
    <m/>
    <m/>
    <m/>
    <m/>
    <m/>
    <m/>
    <m/>
    <m/>
    <m/>
    <m/>
    <m/>
    <n v="0"/>
    <m/>
    <m/>
    <m/>
    <s v="MMR001CMP248"/>
    <s v="Update date: 15/May/2017. Data source: SI "/>
  </r>
  <r>
    <x v="17"/>
    <x v="2"/>
    <x v="1"/>
    <s v="Solidarites"/>
    <s v="Kachin"/>
    <x v="0"/>
    <s v="Sadung"/>
    <m/>
    <n v="91"/>
    <m/>
    <n v="92"/>
    <n v="546"/>
    <n v="184"/>
    <n v="170"/>
    <n v="184"/>
    <m/>
    <m/>
    <n v="91"/>
    <n v="184"/>
    <m/>
    <m/>
    <m/>
    <m/>
    <n v="91"/>
    <m/>
    <n v="85"/>
    <m/>
    <m/>
    <m/>
    <m/>
    <m/>
    <m/>
    <m/>
    <m/>
    <m/>
    <m/>
    <m/>
    <m/>
    <m/>
    <m/>
    <n v="0"/>
    <m/>
    <m/>
    <m/>
    <s v="MMR001CMP258"/>
    <s v="Update date: 15/May/2017. Data source: SI (IDP site)"/>
  </r>
  <r>
    <x v="18"/>
    <x v="2"/>
    <x v="1"/>
    <s v="Solidarites"/>
    <s v="Kachin"/>
    <x v="3"/>
    <s v="Hpun Lum Yang "/>
    <m/>
    <m/>
    <m/>
    <n v="8"/>
    <m/>
    <n v="16"/>
    <m/>
    <n v="16"/>
    <m/>
    <m/>
    <m/>
    <n v="16"/>
    <m/>
    <m/>
    <m/>
    <m/>
    <m/>
    <m/>
    <m/>
    <m/>
    <m/>
    <m/>
    <m/>
    <m/>
    <m/>
    <m/>
    <m/>
    <m/>
    <m/>
    <m/>
    <m/>
    <m/>
    <m/>
    <n v="0"/>
    <m/>
    <m/>
    <m/>
    <s v="MMR001CMP122"/>
    <s v="Update date: 15/May/2017. Data source: SI "/>
  </r>
  <r>
    <x v="18"/>
    <x v="2"/>
    <x v="1"/>
    <s v="Solidarites"/>
    <s v="Kachin"/>
    <x v="0"/>
    <s v="Je Yang Hka "/>
    <m/>
    <m/>
    <m/>
    <n v="6"/>
    <m/>
    <n v="12"/>
    <m/>
    <n v="12"/>
    <m/>
    <m/>
    <m/>
    <n v="12"/>
    <m/>
    <m/>
    <m/>
    <m/>
    <m/>
    <m/>
    <m/>
    <m/>
    <m/>
    <m/>
    <m/>
    <m/>
    <m/>
    <m/>
    <m/>
    <m/>
    <m/>
    <m/>
    <m/>
    <m/>
    <m/>
    <n v="0"/>
    <m/>
    <m/>
    <m/>
    <s v="MMR001CMP121"/>
    <s v="Update date: 15/May/2017. Data source: SI "/>
  </r>
  <r>
    <x v="19"/>
    <x v="2"/>
    <x v="0"/>
    <s v="Shalom"/>
    <s v="Kachin"/>
    <x v="7"/>
    <s v="Chipwi KBC camp"/>
    <m/>
    <m/>
    <m/>
    <m/>
    <m/>
    <m/>
    <m/>
    <m/>
    <m/>
    <m/>
    <m/>
    <m/>
    <n v="79"/>
    <n v="152"/>
    <m/>
    <m/>
    <m/>
    <m/>
    <m/>
    <m/>
    <m/>
    <m/>
    <m/>
    <m/>
    <m/>
    <m/>
    <m/>
    <m/>
    <m/>
    <m/>
    <m/>
    <m/>
    <m/>
    <n v="1"/>
    <m/>
    <m/>
    <m/>
    <s v="MMR001CMP042"/>
    <s v="3/May/2017: Update NFI distribution data. Data source: Shalom (CAR_March data)"/>
  </r>
  <r>
    <x v="19"/>
    <x v="2"/>
    <x v="1"/>
    <s v="Solidarites"/>
    <s v="Kachin"/>
    <x v="0"/>
    <s v="Woi Chyai "/>
    <m/>
    <m/>
    <m/>
    <n v="6"/>
    <m/>
    <n v="12"/>
    <m/>
    <n v="12"/>
    <m/>
    <m/>
    <m/>
    <n v="12"/>
    <m/>
    <m/>
    <m/>
    <m/>
    <m/>
    <m/>
    <m/>
    <m/>
    <m/>
    <m/>
    <m/>
    <m/>
    <m/>
    <m/>
    <m/>
    <m/>
    <m/>
    <m/>
    <m/>
    <m/>
    <m/>
    <n v="0"/>
    <m/>
    <m/>
    <m/>
    <s v="MMR001CMP116"/>
    <s v="Update date: 15/May/2017. Data source: SI "/>
  </r>
  <r>
    <x v="20"/>
    <x v="2"/>
    <x v="0"/>
    <s v="Shalom"/>
    <s v="Kachin"/>
    <x v="7"/>
    <s v="Lhaovao Baptist Church (LBC)"/>
    <m/>
    <m/>
    <m/>
    <m/>
    <m/>
    <m/>
    <m/>
    <m/>
    <m/>
    <m/>
    <m/>
    <m/>
    <n v="97"/>
    <n v="203"/>
    <m/>
    <m/>
    <m/>
    <m/>
    <m/>
    <m/>
    <m/>
    <m/>
    <m/>
    <m/>
    <m/>
    <m/>
    <m/>
    <m/>
    <m/>
    <m/>
    <m/>
    <m/>
    <m/>
    <n v="1"/>
    <m/>
    <m/>
    <m/>
    <s v="MMR001CMP195"/>
    <s v="3/May/2017: Update NFI distribution data. Data source: Shalom (CAR_March data)"/>
  </r>
  <r>
    <x v="21"/>
    <x v="2"/>
    <x v="0"/>
    <s v="KBC"/>
    <s v="Kachin"/>
    <x v="8"/>
    <s v="Ndup Yang"/>
    <m/>
    <m/>
    <m/>
    <m/>
    <m/>
    <m/>
    <m/>
    <n v="292"/>
    <m/>
    <m/>
    <m/>
    <m/>
    <m/>
    <m/>
    <m/>
    <m/>
    <m/>
    <m/>
    <m/>
    <m/>
    <m/>
    <m/>
    <m/>
    <m/>
    <m/>
    <m/>
    <m/>
    <m/>
    <m/>
    <m/>
    <m/>
    <m/>
    <m/>
    <n v="0"/>
    <m/>
    <m/>
    <m/>
    <s v="MMR001CMP238"/>
    <s v="2/June/2017: Update blanket data. Data source: KBC"/>
  </r>
  <r>
    <x v="22"/>
    <x v="2"/>
    <x v="0"/>
    <s v="KBC"/>
    <s v="Kachin"/>
    <x v="8"/>
    <s v="Salang Yang"/>
    <m/>
    <m/>
    <m/>
    <m/>
    <m/>
    <m/>
    <m/>
    <n v="134"/>
    <m/>
    <m/>
    <m/>
    <m/>
    <m/>
    <m/>
    <m/>
    <m/>
    <m/>
    <m/>
    <m/>
    <m/>
    <m/>
    <m/>
    <m/>
    <m/>
    <m/>
    <m/>
    <m/>
    <m/>
    <m/>
    <m/>
    <m/>
    <m/>
    <m/>
    <n v="0"/>
    <m/>
    <m/>
    <m/>
    <s v="MMR001CMP239"/>
    <s v="2/June/2017: Update blanket data. Data source: KBC"/>
  </r>
  <r>
    <x v="23"/>
    <x v="2"/>
    <x v="0"/>
    <s v="Shalom"/>
    <s v="Kachin"/>
    <x v="0"/>
    <s v="Nawng Hee Village"/>
    <m/>
    <m/>
    <m/>
    <n v="5"/>
    <n v="5"/>
    <n v="10"/>
    <n v="5"/>
    <n v="10"/>
    <n v="5"/>
    <m/>
    <n v="5"/>
    <n v="28"/>
    <m/>
    <m/>
    <m/>
    <m/>
    <n v="5"/>
    <m/>
    <m/>
    <m/>
    <m/>
    <m/>
    <m/>
    <m/>
    <m/>
    <m/>
    <m/>
    <m/>
    <m/>
    <m/>
    <m/>
    <m/>
    <m/>
    <n v="0"/>
    <m/>
    <m/>
    <m/>
    <s v="MMR001CMP033"/>
    <s v="3/May/2017: Update NFI distribution data. Data source: Shalom (CAR_March data)"/>
  </r>
  <r>
    <x v="24"/>
    <x v="2"/>
    <x v="2"/>
    <s v="NRC"/>
    <s v="Shan_North"/>
    <x v="9"/>
    <s v="Kutkai downtown (RC Church)"/>
    <m/>
    <m/>
    <m/>
    <m/>
    <m/>
    <m/>
    <m/>
    <m/>
    <m/>
    <m/>
    <m/>
    <m/>
    <n v="540"/>
    <m/>
    <m/>
    <n v="135"/>
    <m/>
    <m/>
    <m/>
    <m/>
    <m/>
    <m/>
    <m/>
    <m/>
    <m/>
    <m/>
    <m/>
    <m/>
    <m/>
    <m/>
    <m/>
    <m/>
    <m/>
    <n v="1"/>
    <m/>
    <m/>
    <m/>
    <s v="MMR015CMP017"/>
    <s v="Update date: 16/May/2017. Data source: NRC"/>
  </r>
  <r>
    <x v="25"/>
    <x v="3"/>
    <x v="2"/>
    <s v="NRC"/>
    <s v="Kachin"/>
    <x v="2"/>
    <s v="Maing Khaung Catholic Church"/>
    <m/>
    <m/>
    <m/>
    <m/>
    <m/>
    <m/>
    <m/>
    <m/>
    <m/>
    <m/>
    <m/>
    <m/>
    <n v="144"/>
    <m/>
    <m/>
    <n v="36"/>
    <m/>
    <m/>
    <m/>
    <m/>
    <m/>
    <m/>
    <m/>
    <m/>
    <m/>
    <m/>
    <m/>
    <m/>
    <m/>
    <m/>
    <m/>
    <m/>
    <m/>
    <n v="1"/>
    <m/>
    <m/>
    <m/>
    <s v="MMR001CMP223"/>
    <s v="Update date: 16/May/2017. Data source: NRC"/>
  </r>
  <r>
    <x v="26"/>
    <x v="3"/>
    <x v="0"/>
    <s v="Shalom"/>
    <s v="Kachin"/>
    <x v="0"/>
    <s v="Qtr. 2 Lhaovo Baptist Church"/>
    <m/>
    <m/>
    <m/>
    <n v="17"/>
    <n v="17"/>
    <n v="58"/>
    <n v="17"/>
    <n v="58"/>
    <n v="17"/>
    <m/>
    <n v="17"/>
    <n v="76"/>
    <m/>
    <m/>
    <m/>
    <m/>
    <n v="17"/>
    <m/>
    <m/>
    <n v="15"/>
    <m/>
    <m/>
    <m/>
    <m/>
    <m/>
    <m/>
    <m/>
    <m/>
    <m/>
    <m/>
    <m/>
    <m/>
    <m/>
    <n v="0"/>
    <m/>
    <m/>
    <m/>
    <s v="MMR001CMP032"/>
    <s v="Update date: 2/June/2017. Data source: CAR_April"/>
  </r>
  <r>
    <x v="27"/>
    <x v="3"/>
    <x v="1"/>
    <s v="Solidarites"/>
    <s v="Kachin"/>
    <x v="0"/>
    <s v="Qtr. 2 Lhaovo Baptist Church"/>
    <m/>
    <n v="10"/>
    <m/>
    <m/>
    <n v="90"/>
    <m/>
    <m/>
    <m/>
    <m/>
    <m/>
    <n v="10"/>
    <m/>
    <m/>
    <m/>
    <m/>
    <m/>
    <n v="10"/>
    <m/>
    <m/>
    <m/>
    <m/>
    <m/>
    <m/>
    <m/>
    <m/>
    <m/>
    <m/>
    <m/>
    <m/>
    <m/>
    <m/>
    <m/>
    <m/>
    <n v="0"/>
    <m/>
    <m/>
    <m/>
    <s v="MMR001CMP032"/>
    <s v="Update date: 15/May/2017. Data source: SI "/>
  </r>
  <r>
    <x v="28"/>
    <x v="4"/>
    <x v="0"/>
    <s v="Shalom"/>
    <s v="Kachin"/>
    <x v="0"/>
    <s v="Hkat Cho "/>
    <m/>
    <m/>
    <m/>
    <n v="3"/>
    <n v="3"/>
    <n v="9"/>
    <n v="3"/>
    <n v="10"/>
    <n v="5"/>
    <m/>
    <n v="5"/>
    <n v="28"/>
    <m/>
    <m/>
    <m/>
    <m/>
    <m/>
    <m/>
    <m/>
    <m/>
    <m/>
    <m/>
    <m/>
    <m/>
    <m/>
    <m/>
    <m/>
    <m/>
    <m/>
    <m/>
    <m/>
    <m/>
    <m/>
    <n v="0"/>
    <m/>
    <m/>
    <m/>
    <s v="MMR001CMP028"/>
    <m/>
  </r>
  <r>
    <x v="28"/>
    <x v="4"/>
    <x v="0"/>
    <s v="Shalom"/>
    <s v="Kachin"/>
    <x v="0"/>
    <s v="Thargaya Lisu Baptist Church"/>
    <m/>
    <m/>
    <m/>
    <n v="1"/>
    <n v="1"/>
    <n v="3"/>
    <n v="1"/>
    <n v="3"/>
    <n v="1"/>
    <m/>
    <n v="1"/>
    <n v="3"/>
    <m/>
    <m/>
    <m/>
    <m/>
    <m/>
    <m/>
    <m/>
    <m/>
    <m/>
    <m/>
    <m/>
    <m/>
    <m/>
    <m/>
    <m/>
    <m/>
    <m/>
    <m/>
    <m/>
    <m/>
    <m/>
    <n v="0"/>
    <m/>
    <m/>
    <m/>
    <s v="MMR001CMP037"/>
    <m/>
  </r>
  <r>
    <x v="28"/>
    <x v="4"/>
    <x v="0"/>
    <s v="Shalom"/>
    <s v="Kachin"/>
    <x v="0"/>
    <s v="Nawng Hee Village"/>
    <m/>
    <m/>
    <m/>
    <n v="1"/>
    <n v="1"/>
    <n v="2"/>
    <n v="1"/>
    <n v="2"/>
    <n v="1"/>
    <m/>
    <n v="1"/>
    <n v="3"/>
    <m/>
    <m/>
    <m/>
    <m/>
    <m/>
    <m/>
    <m/>
    <m/>
    <m/>
    <m/>
    <m/>
    <m/>
    <m/>
    <m/>
    <m/>
    <m/>
    <m/>
    <m/>
    <m/>
    <m/>
    <m/>
    <n v="0"/>
    <m/>
    <m/>
    <m/>
    <s v="MMR001CMP033"/>
    <m/>
  </r>
  <r>
    <x v="28"/>
    <x v="4"/>
    <x v="0"/>
    <s v="Shalom"/>
    <s v="Kachin"/>
    <x v="0"/>
    <s v="Waingmaw AG Church"/>
    <m/>
    <m/>
    <m/>
    <n v="2"/>
    <n v="2"/>
    <n v="7"/>
    <n v="6"/>
    <n v="7"/>
    <n v="2"/>
    <m/>
    <n v="2"/>
    <n v="9"/>
    <m/>
    <m/>
    <m/>
    <m/>
    <m/>
    <m/>
    <m/>
    <m/>
    <m/>
    <m/>
    <m/>
    <m/>
    <m/>
    <m/>
    <m/>
    <m/>
    <m/>
    <m/>
    <m/>
    <m/>
    <m/>
    <n v="0"/>
    <m/>
    <m/>
    <m/>
    <s v="MMR001CMP038"/>
    <m/>
  </r>
  <r>
    <x v="29"/>
    <x v="4"/>
    <x v="2"/>
    <s v="NRC"/>
    <s v="Kachin"/>
    <x v="5"/>
    <s v="Pang Hkawng Yang"/>
    <m/>
    <m/>
    <m/>
    <m/>
    <m/>
    <n v="54"/>
    <n v="6"/>
    <n v="108"/>
    <n v="54"/>
    <m/>
    <m/>
    <n v="54"/>
    <m/>
    <m/>
    <m/>
    <m/>
    <m/>
    <m/>
    <m/>
    <m/>
    <m/>
    <m/>
    <m/>
    <m/>
    <m/>
    <m/>
    <m/>
    <m/>
    <m/>
    <m/>
    <m/>
    <m/>
    <m/>
    <n v="0"/>
    <m/>
    <m/>
    <m/>
    <s v=""/>
    <s v="Update date: 3/Jul/2017. Data source NRC. Distribution for Storm affected villages."/>
  </r>
  <r>
    <x v="30"/>
    <x v="4"/>
    <x v="2"/>
    <s v="NRC"/>
    <s v="Kachin"/>
    <x v="2"/>
    <s v="Man Kawng Catholic Church"/>
    <m/>
    <m/>
    <m/>
    <m/>
    <m/>
    <m/>
    <m/>
    <n v="350"/>
    <n v="38"/>
    <m/>
    <m/>
    <n v="175"/>
    <m/>
    <m/>
    <m/>
    <m/>
    <m/>
    <m/>
    <m/>
    <m/>
    <m/>
    <m/>
    <m/>
    <m/>
    <m/>
    <m/>
    <m/>
    <m/>
    <m/>
    <m/>
    <m/>
    <m/>
    <m/>
    <n v="0"/>
    <m/>
    <m/>
    <m/>
    <s v="MMR001CMP213"/>
    <m/>
  </r>
  <r>
    <x v="31"/>
    <x v="4"/>
    <x v="2"/>
    <s v="NRC"/>
    <s v="Shan_North"/>
    <x v="10"/>
    <s v="Nam Sa Larp"/>
    <m/>
    <m/>
    <m/>
    <m/>
    <m/>
    <n v="57"/>
    <m/>
    <m/>
    <n v="57"/>
    <m/>
    <m/>
    <n v="57"/>
    <m/>
    <m/>
    <m/>
    <m/>
    <m/>
    <m/>
    <m/>
    <m/>
    <m/>
    <m/>
    <m/>
    <m/>
    <m/>
    <m/>
    <m/>
    <m/>
    <m/>
    <m/>
    <m/>
    <m/>
    <m/>
    <n v="0"/>
    <m/>
    <m/>
    <m/>
    <s v="MMR015CMP218"/>
    <s v="3/Jul/2017: Updated NFI distribution. Data source NRC."/>
  </r>
  <r>
    <x v="32"/>
    <x v="4"/>
    <x v="2"/>
    <s v="NRC"/>
    <s v="Shan_North"/>
    <x v="9"/>
    <s v="Kutkai downtown (KBC Church-2)"/>
    <m/>
    <m/>
    <m/>
    <m/>
    <m/>
    <n v="46"/>
    <n v="12"/>
    <n v="92"/>
    <n v="46"/>
    <m/>
    <m/>
    <n v="46"/>
    <m/>
    <m/>
    <m/>
    <m/>
    <m/>
    <m/>
    <m/>
    <m/>
    <m/>
    <m/>
    <m/>
    <m/>
    <m/>
    <m/>
    <m/>
    <m/>
    <m/>
    <m/>
    <m/>
    <m/>
    <m/>
    <n v="0"/>
    <m/>
    <m/>
    <m/>
    <s v="MMR015CMP245"/>
    <s v="3/Jul/2017: Updated NFI distribution. Data source NRC."/>
  </r>
  <r>
    <x v="33"/>
    <x v="4"/>
    <x v="2"/>
    <s v="NRC"/>
    <s v="Shan_North"/>
    <x v="9"/>
    <s v="Man Loi"/>
    <m/>
    <m/>
    <m/>
    <m/>
    <m/>
    <n v="24"/>
    <n v="9"/>
    <n v="48"/>
    <n v="24"/>
    <m/>
    <m/>
    <n v="24"/>
    <m/>
    <m/>
    <m/>
    <m/>
    <m/>
    <m/>
    <m/>
    <m/>
    <m/>
    <m/>
    <m/>
    <m/>
    <m/>
    <m/>
    <m/>
    <m/>
    <m/>
    <m/>
    <m/>
    <m/>
    <m/>
    <n v="0"/>
    <m/>
    <m/>
    <m/>
    <s v="MMR015CMP246"/>
    <s v="3/Jul/2017: Updated NFI distribution. Data source NRC."/>
  </r>
  <r>
    <x v="33"/>
    <x v="4"/>
    <x v="2"/>
    <s v="NRC"/>
    <s v="Shan_North"/>
    <x v="9"/>
    <s v="Kutkai downtown (KBC Church-2)"/>
    <m/>
    <m/>
    <m/>
    <m/>
    <m/>
    <m/>
    <n v="24"/>
    <m/>
    <m/>
    <m/>
    <m/>
    <m/>
    <m/>
    <m/>
    <m/>
    <m/>
    <m/>
    <m/>
    <m/>
    <m/>
    <m/>
    <m/>
    <m/>
    <m/>
    <m/>
    <m/>
    <m/>
    <m/>
    <m/>
    <m/>
    <m/>
    <m/>
    <m/>
    <n v="0"/>
    <m/>
    <m/>
    <m/>
    <s v="MMR015CMP245"/>
    <m/>
  </r>
  <r>
    <x v="34"/>
    <x v="4"/>
    <x v="2"/>
    <s v="NRC"/>
    <s v="Shan_North"/>
    <x v="9"/>
    <s v="Mai Yu Lay Ta'ang"/>
    <m/>
    <m/>
    <m/>
    <m/>
    <m/>
    <n v="143"/>
    <n v="62"/>
    <n v="286"/>
    <n v="143"/>
    <m/>
    <m/>
    <n v="143"/>
    <m/>
    <m/>
    <m/>
    <m/>
    <m/>
    <m/>
    <m/>
    <m/>
    <m/>
    <m/>
    <m/>
    <m/>
    <m/>
    <m/>
    <m/>
    <m/>
    <m/>
    <m/>
    <m/>
    <m/>
    <m/>
    <n v="0"/>
    <m/>
    <m/>
    <m/>
    <s v=""/>
    <s v="3/Jul/2017: Updated NFI distribution. Data source NRC."/>
  </r>
  <r>
    <x v="35"/>
    <x v="4"/>
    <x v="2"/>
    <s v="NRC"/>
    <s v="Shan_North"/>
    <x v="11"/>
    <s v="Nam Tu Baptist"/>
    <m/>
    <m/>
    <m/>
    <m/>
    <m/>
    <n v="46"/>
    <n v="9"/>
    <n v="46"/>
    <n v="46"/>
    <m/>
    <m/>
    <n v="46"/>
    <m/>
    <m/>
    <m/>
    <m/>
    <m/>
    <m/>
    <m/>
    <m/>
    <m/>
    <m/>
    <m/>
    <m/>
    <m/>
    <m/>
    <m/>
    <m/>
    <m/>
    <m/>
    <m/>
    <m/>
    <m/>
    <n v="0"/>
    <m/>
    <m/>
    <m/>
    <s v="MMR015CMP014"/>
    <s v="3/Jul/2017: Updated NFI distribution. Data source NRC."/>
  </r>
  <r>
    <x v="35"/>
    <x v="4"/>
    <x v="2"/>
    <s v="NRC"/>
    <s v="Shan_North"/>
    <x v="11"/>
    <s v="Lisu Church Namtu"/>
    <m/>
    <m/>
    <m/>
    <m/>
    <m/>
    <n v="25"/>
    <n v="5"/>
    <n v="25"/>
    <n v="25"/>
    <m/>
    <m/>
    <n v="25"/>
    <m/>
    <m/>
    <m/>
    <m/>
    <m/>
    <m/>
    <m/>
    <m/>
    <m/>
    <m/>
    <m/>
    <m/>
    <m/>
    <m/>
    <m/>
    <m/>
    <m/>
    <m/>
    <m/>
    <m/>
    <m/>
    <n v="0"/>
    <m/>
    <m/>
    <m/>
    <s v="MMR015CMP232"/>
    <s v="3/Jul/2017: Updated NFI distribution. Data source NRC."/>
  </r>
  <r>
    <x v="35"/>
    <x v="4"/>
    <x v="2"/>
    <s v="NRC"/>
    <s v="Shan_North"/>
    <x v="11"/>
    <s v="Pan Ta Pyae"/>
    <m/>
    <m/>
    <m/>
    <m/>
    <m/>
    <n v="16"/>
    <n v="3"/>
    <n v="16"/>
    <n v="16"/>
    <m/>
    <m/>
    <n v="16"/>
    <m/>
    <m/>
    <m/>
    <m/>
    <m/>
    <m/>
    <m/>
    <m/>
    <m/>
    <m/>
    <m/>
    <m/>
    <m/>
    <m/>
    <m/>
    <m/>
    <m/>
    <m/>
    <m/>
    <m/>
    <m/>
    <n v="0"/>
    <m/>
    <m/>
    <m/>
    <s v="MMR015CMP221"/>
    <s v="3/Jul/2017: Updated NFI distribution. Data source NRC."/>
  </r>
  <r>
    <x v="35"/>
    <x v="4"/>
    <x v="2"/>
    <s v="NRC"/>
    <s v="Shan_North"/>
    <x v="11"/>
    <s v="Kyu Sot"/>
    <m/>
    <m/>
    <m/>
    <m/>
    <m/>
    <n v="60"/>
    <m/>
    <n v="60"/>
    <n v="60"/>
    <m/>
    <m/>
    <n v="60"/>
    <m/>
    <m/>
    <m/>
    <m/>
    <m/>
    <m/>
    <m/>
    <m/>
    <m/>
    <m/>
    <m/>
    <m/>
    <m/>
    <m/>
    <m/>
    <m/>
    <m/>
    <m/>
    <m/>
    <m/>
    <m/>
    <n v="0"/>
    <m/>
    <m/>
    <m/>
    <s v="MMR015CMP248"/>
    <s v="3/Jul/2017: Updated NFI distribution. Data source NRC."/>
  </r>
  <r>
    <x v="36"/>
    <x v="5"/>
    <x v="2"/>
    <s v="KBC"/>
    <s v="Kachin"/>
    <x v="5"/>
    <s v="Host Families"/>
    <m/>
    <m/>
    <m/>
    <m/>
    <m/>
    <n v="79"/>
    <m/>
    <n v="158"/>
    <n v="79"/>
    <m/>
    <m/>
    <n v="79"/>
    <m/>
    <m/>
    <m/>
    <m/>
    <m/>
    <m/>
    <m/>
    <m/>
    <m/>
    <m/>
    <m/>
    <m/>
    <m/>
    <m/>
    <m/>
    <m/>
    <m/>
    <m/>
    <m/>
    <m/>
    <m/>
    <n v="0"/>
    <m/>
    <m/>
    <m/>
    <s v="MMR001CMP163"/>
    <m/>
  </r>
  <r>
    <x v="37"/>
    <x v="5"/>
    <x v="2"/>
    <s v="KBC"/>
    <s v="Kachin"/>
    <x v="2"/>
    <s v="Man Wing Catholic Church II"/>
    <m/>
    <m/>
    <m/>
    <m/>
    <m/>
    <n v="143"/>
    <m/>
    <n v="27"/>
    <n v="83"/>
    <m/>
    <m/>
    <n v="143"/>
    <m/>
    <m/>
    <m/>
    <m/>
    <m/>
    <n v="167"/>
    <m/>
    <m/>
    <m/>
    <m/>
    <m/>
    <m/>
    <m/>
    <m/>
    <m/>
    <m/>
    <m/>
    <m/>
    <m/>
    <m/>
    <m/>
    <n v="0"/>
    <m/>
    <m/>
    <m/>
    <s v="MMR001CMP228"/>
    <m/>
  </r>
  <r>
    <x v="37"/>
    <x v="5"/>
    <x v="2"/>
    <s v="KBC"/>
    <s v="Kachin"/>
    <x v="2"/>
    <s v="Man Wing Baptist Church"/>
    <m/>
    <m/>
    <m/>
    <m/>
    <m/>
    <n v="40"/>
    <m/>
    <m/>
    <m/>
    <m/>
    <m/>
    <n v="39"/>
    <m/>
    <m/>
    <m/>
    <m/>
    <m/>
    <n v="139"/>
    <m/>
    <m/>
    <m/>
    <m/>
    <m/>
    <m/>
    <m/>
    <m/>
    <m/>
    <m/>
    <m/>
    <m/>
    <m/>
    <m/>
    <m/>
    <n v="0"/>
    <m/>
    <m/>
    <m/>
    <s v="MMR001CMP133"/>
    <m/>
  </r>
  <r>
    <x v="38"/>
    <x v="5"/>
    <x v="3"/>
    <m/>
    <s v="Kachin"/>
    <x v="12"/>
    <s v="Tanai"/>
    <n v="288"/>
    <m/>
    <m/>
    <m/>
    <m/>
    <m/>
    <m/>
    <m/>
    <m/>
    <m/>
    <m/>
    <m/>
    <m/>
    <m/>
    <m/>
    <m/>
    <m/>
    <m/>
    <m/>
    <m/>
    <m/>
    <m/>
    <m/>
    <m/>
    <m/>
    <m/>
    <m/>
    <m/>
    <m/>
    <m/>
    <m/>
    <m/>
    <m/>
    <n v="0"/>
    <m/>
    <m/>
    <m/>
    <s v=""/>
    <s v="Data source Metta"/>
  </r>
  <r>
    <x v="38"/>
    <x v="5"/>
    <x v="4"/>
    <m/>
    <s v="Kachin"/>
    <x v="12"/>
    <s v="Tanai"/>
    <m/>
    <m/>
    <m/>
    <m/>
    <m/>
    <n v="255"/>
    <n v="255"/>
    <n v="255"/>
    <m/>
    <m/>
    <m/>
    <m/>
    <m/>
    <m/>
    <m/>
    <m/>
    <m/>
    <m/>
    <m/>
    <m/>
    <m/>
    <m/>
    <m/>
    <m/>
    <m/>
    <m/>
    <m/>
    <m/>
    <m/>
    <m/>
    <m/>
    <m/>
    <m/>
    <n v="0"/>
    <m/>
    <m/>
    <m/>
    <s v=""/>
    <s v="Data source MRCS"/>
  </r>
  <r>
    <x v="39"/>
    <x v="5"/>
    <x v="2"/>
    <s v="KBC"/>
    <s v="Kachin"/>
    <x v="5"/>
    <s v="Ta Gun Taing Monastery (Shwe Kyi Na)"/>
    <m/>
    <m/>
    <m/>
    <m/>
    <m/>
    <n v="20"/>
    <m/>
    <n v="40"/>
    <n v="20"/>
    <m/>
    <m/>
    <n v="20"/>
    <m/>
    <m/>
    <m/>
    <m/>
    <m/>
    <m/>
    <m/>
    <m/>
    <m/>
    <m/>
    <m/>
    <m/>
    <m/>
    <m/>
    <m/>
    <m/>
    <m/>
    <m/>
    <m/>
    <m/>
    <m/>
    <n v="0"/>
    <m/>
    <m/>
    <m/>
    <s v="MMR001CMP055"/>
    <m/>
  </r>
  <r>
    <x v="40"/>
    <x v="5"/>
    <x v="2"/>
    <s v="KBC"/>
    <s v="Kachin"/>
    <x v="5"/>
    <s v="Nant Hlaing Church"/>
    <m/>
    <m/>
    <m/>
    <m/>
    <m/>
    <m/>
    <m/>
    <m/>
    <n v="22"/>
    <m/>
    <m/>
    <m/>
    <m/>
    <m/>
    <m/>
    <m/>
    <m/>
    <m/>
    <m/>
    <m/>
    <m/>
    <m/>
    <m/>
    <m/>
    <m/>
    <m/>
    <m/>
    <m/>
    <m/>
    <m/>
    <m/>
    <m/>
    <m/>
    <n v="0"/>
    <m/>
    <m/>
    <m/>
    <s v="MMR001CMP054"/>
    <m/>
  </r>
  <r>
    <x v="40"/>
    <x v="5"/>
    <x v="2"/>
    <s v="KBC"/>
    <s v="Kachin"/>
    <x v="5"/>
    <s v="Yoe Kyi Monastery"/>
    <m/>
    <m/>
    <m/>
    <m/>
    <m/>
    <m/>
    <m/>
    <m/>
    <n v="14"/>
    <m/>
    <m/>
    <m/>
    <m/>
    <m/>
    <m/>
    <m/>
    <m/>
    <m/>
    <m/>
    <m/>
    <m/>
    <m/>
    <m/>
    <m/>
    <m/>
    <m/>
    <m/>
    <m/>
    <m/>
    <m/>
    <m/>
    <m/>
    <m/>
    <n v="0"/>
    <m/>
    <m/>
    <m/>
    <s v="MMR001CMP053"/>
    <m/>
  </r>
  <r>
    <x v="41"/>
    <x v="6"/>
    <x v="0"/>
    <s v="Shalom"/>
    <s v="Kachin"/>
    <x v="1"/>
    <s v="Ka bu dam village"/>
    <m/>
    <m/>
    <m/>
    <n v="17"/>
    <n v="14"/>
    <n v="25"/>
    <n v="17"/>
    <n v="38"/>
    <n v="17"/>
    <m/>
    <n v="17"/>
    <n v="26"/>
    <m/>
    <m/>
    <m/>
    <m/>
    <n v="17"/>
    <m/>
    <m/>
    <n v="17"/>
    <m/>
    <m/>
    <m/>
    <m/>
    <m/>
    <m/>
    <m/>
    <m/>
    <m/>
    <m/>
    <m/>
    <m/>
    <m/>
    <n v="0"/>
    <m/>
    <m/>
    <m/>
    <s v=""/>
    <m/>
  </r>
  <r>
    <x v="42"/>
    <x v="7"/>
    <x v="2"/>
    <s v="NRC"/>
    <s v="Kachin"/>
    <x v="3"/>
    <s v="Loi Je Lisu Camp"/>
    <m/>
    <m/>
    <m/>
    <m/>
    <m/>
    <m/>
    <n v="2"/>
    <m/>
    <m/>
    <m/>
    <m/>
    <m/>
    <m/>
    <m/>
    <m/>
    <m/>
    <m/>
    <m/>
    <m/>
    <m/>
    <m/>
    <m/>
    <m/>
    <m/>
    <m/>
    <m/>
    <m/>
    <m/>
    <m/>
    <m/>
    <m/>
    <m/>
    <m/>
    <n v="0"/>
    <m/>
    <m/>
    <m/>
    <s v="MMR001CMP070"/>
    <m/>
  </r>
  <r>
    <x v="42"/>
    <x v="7"/>
    <x v="2"/>
    <s v="NRC"/>
    <s v="Kachin"/>
    <x v="5"/>
    <s v="Ta Gun Taing Monastery (Shwe Kyi Na)"/>
    <m/>
    <m/>
    <m/>
    <m/>
    <m/>
    <m/>
    <n v="2"/>
    <m/>
    <m/>
    <m/>
    <m/>
    <m/>
    <m/>
    <m/>
    <m/>
    <m/>
    <m/>
    <m/>
    <m/>
    <m/>
    <m/>
    <m/>
    <m/>
    <m/>
    <m/>
    <m/>
    <m/>
    <m/>
    <m/>
    <m/>
    <m/>
    <m/>
    <m/>
    <n v="0"/>
    <m/>
    <m/>
    <m/>
    <s v="MMR001CMP055"/>
    <m/>
  </r>
  <r>
    <x v="43"/>
    <x v="7"/>
    <x v="2"/>
    <s v="KBC"/>
    <s v="Kachin"/>
    <x v="4"/>
    <s v="Pan Hkawn Yang village"/>
    <m/>
    <m/>
    <m/>
    <m/>
    <m/>
    <n v="60"/>
    <n v="10"/>
    <n v="60"/>
    <m/>
    <n v="60"/>
    <n v="30"/>
    <n v="60"/>
    <m/>
    <m/>
    <m/>
    <m/>
    <m/>
    <n v="60"/>
    <m/>
    <m/>
    <m/>
    <m/>
    <m/>
    <m/>
    <m/>
    <m/>
    <m/>
    <m/>
    <m/>
    <m/>
    <m/>
    <m/>
    <m/>
    <n v="0"/>
    <m/>
    <m/>
    <m/>
    <s v=""/>
    <m/>
  </r>
  <r>
    <x v="44"/>
    <x v="7"/>
    <x v="1"/>
    <s v="Solidarites"/>
    <s v="Kachin"/>
    <x v="4"/>
    <s v="Yel Lay village"/>
    <m/>
    <m/>
    <m/>
    <m/>
    <m/>
    <n v="10"/>
    <m/>
    <n v="10"/>
    <n v="5"/>
    <m/>
    <m/>
    <n v="10"/>
    <m/>
    <m/>
    <m/>
    <m/>
    <m/>
    <m/>
    <m/>
    <m/>
    <m/>
    <m/>
    <m/>
    <m/>
    <m/>
    <m/>
    <m/>
    <m/>
    <m/>
    <m/>
    <m/>
    <m/>
    <m/>
    <n v="0"/>
    <m/>
    <m/>
    <m/>
    <s v=""/>
    <m/>
  </r>
  <r>
    <x v="44"/>
    <x v="7"/>
    <x v="1"/>
    <s v="Solidarites"/>
    <s v="Kachin"/>
    <x v="4"/>
    <s v="Moe Sein Tune village"/>
    <m/>
    <m/>
    <m/>
    <m/>
    <m/>
    <n v="4"/>
    <m/>
    <n v="4"/>
    <n v="2"/>
    <m/>
    <m/>
    <n v="4"/>
    <m/>
    <m/>
    <m/>
    <m/>
    <m/>
    <m/>
    <m/>
    <m/>
    <m/>
    <m/>
    <m/>
    <m/>
    <m/>
    <m/>
    <m/>
    <m/>
    <m/>
    <m/>
    <m/>
    <m/>
    <m/>
    <n v="0"/>
    <m/>
    <m/>
    <m/>
    <s v=""/>
    <m/>
  </r>
  <r>
    <x v="44"/>
    <x v="7"/>
    <x v="2"/>
    <s v="NRC"/>
    <s v="Kachin"/>
    <x v="2"/>
    <s v="Maing Khaung"/>
    <m/>
    <m/>
    <m/>
    <m/>
    <m/>
    <m/>
    <m/>
    <m/>
    <m/>
    <m/>
    <m/>
    <m/>
    <m/>
    <m/>
    <m/>
    <m/>
    <m/>
    <n v="166"/>
    <m/>
    <m/>
    <m/>
    <m/>
    <m/>
    <m/>
    <m/>
    <m/>
    <m/>
    <m/>
    <m/>
    <m/>
    <m/>
    <m/>
    <m/>
    <n v="0"/>
    <m/>
    <m/>
    <m/>
    <s v="MMR001CMP218"/>
    <m/>
  </r>
  <r>
    <x v="44"/>
    <x v="7"/>
    <x v="2"/>
    <s v="NRC"/>
    <s v="Kachin"/>
    <x v="2"/>
    <s v="Mai Hkawng KBC Camp-2"/>
    <m/>
    <m/>
    <m/>
    <m/>
    <m/>
    <m/>
    <m/>
    <m/>
    <m/>
    <m/>
    <m/>
    <m/>
    <m/>
    <m/>
    <m/>
    <m/>
    <m/>
    <n v="64"/>
    <m/>
    <m/>
    <m/>
    <m/>
    <m/>
    <m/>
    <m/>
    <m/>
    <m/>
    <m/>
    <m/>
    <m/>
    <m/>
    <m/>
    <m/>
    <n v="0"/>
    <m/>
    <m/>
    <m/>
    <s v=""/>
    <m/>
  </r>
  <r>
    <x v="45"/>
    <x v="7"/>
    <x v="1"/>
    <s v="Solidarites"/>
    <s v="Kachin"/>
    <x v="4"/>
    <s v="Lat Pan La village"/>
    <m/>
    <m/>
    <m/>
    <m/>
    <m/>
    <n v="14"/>
    <m/>
    <n v="14"/>
    <n v="7"/>
    <m/>
    <m/>
    <n v="14"/>
    <m/>
    <m/>
    <m/>
    <m/>
    <m/>
    <m/>
    <m/>
    <m/>
    <m/>
    <m/>
    <m/>
    <m/>
    <m/>
    <m/>
    <m/>
    <m/>
    <m/>
    <m/>
    <m/>
    <m/>
    <m/>
    <n v="0"/>
    <m/>
    <m/>
    <m/>
    <s v=""/>
    <m/>
  </r>
  <r>
    <x v="45"/>
    <x v="7"/>
    <x v="1"/>
    <s v="Solidarites"/>
    <s v="Kachin"/>
    <x v="4"/>
    <s v="Man ma Lin village"/>
    <m/>
    <m/>
    <m/>
    <m/>
    <m/>
    <n v="8"/>
    <m/>
    <n v="8"/>
    <n v="4"/>
    <m/>
    <m/>
    <n v="8"/>
    <m/>
    <m/>
    <m/>
    <m/>
    <m/>
    <m/>
    <m/>
    <m/>
    <m/>
    <m/>
    <m/>
    <m/>
    <m/>
    <m/>
    <m/>
    <m/>
    <m/>
    <m/>
    <m/>
    <m/>
    <m/>
    <n v="0"/>
    <m/>
    <m/>
    <m/>
    <s v=""/>
    <m/>
  </r>
  <r>
    <x v="45"/>
    <x v="7"/>
    <x v="1"/>
    <s v="Solidarites"/>
    <s v="Kachin"/>
    <x v="5"/>
    <s v="Min Jong Kone Ward"/>
    <m/>
    <m/>
    <m/>
    <m/>
    <m/>
    <n v="12"/>
    <m/>
    <n v="12"/>
    <n v="6"/>
    <m/>
    <m/>
    <n v="12"/>
    <m/>
    <m/>
    <m/>
    <m/>
    <m/>
    <m/>
    <m/>
    <m/>
    <m/>
    <m/>
    <m/>
    <m/>
    <m/>
    <m/>
    <m/>
    <m/>
    <m/>
    <m/>
    <m/>
    <m/>
    <m/>
    <n v="0"/>
    <m/>
    <m/>
    <m/>
    <s v=""/>
    <m/>
  </r>
  <r>
    <x v="45"/>
    <x v="7"/>
    <x v="1"/>
    <s v="Solidarites"/>
    <s v="Kachin"/>
    <x v="5"/>
    <s v="Pauk Kone Ward"/>
    <m/>
    <m/>
    <m/>
    <m/>
    <m/>
    <n v="68"/>
    <m/>
    <n v="68"/>
    <n v="34"/>
    <m/>
    <m/>
    <n v="68"/>
    <m/>
    <m/>
    <m/>
    <m/>
    <m/>
    <m/>
    <m/>
    <m/>
    <m/>
    <m/>
    <m/>
    <m/>
    <m/>
    <m/>
    <m/>
    <m/>
    <m/>
    <m/>
    <m/>
    <m/>
    <m/>
    <n v="0"/>
    <m/>
    <m/>
    <m/>
    <s v=""/>
    <m/>
  </r>
  <r>
    <x v="45"/>
    <x v="7"/>
    <x v="1"/>
    <s v="Solidarites"/>
    <s v="Kachin"/>
    <x v="5"/>
    <s v="Khun Thar Ward"/>
    <m/>
    <m/>
    <m/>
    <m/>
    <m/>
    <n v="166"/>
    <m/>
    <n v="166"/>
    <n v="83"/>
    <m/>
    <m/>
    <n v="166"/>
    <m/>
    <m/>
    <m/>
    <m/>
    <m/>
    <m/>
    <m/>
    <m/>
    <m/>
    <m/>
    <m/>
    <m/>
    <m/>
    <m/>
    <m/>
    <m/>
    <m/>
    <m/>
    <m/>
    <m/>
    <m/>
    <n v="0"/>
    <m/>
    <m/>
    <m/>
    <s v=""/>
    <m/>
  </r>
  <r>
    <x v="46"/>
    <x v="7"/>
    <x v="1"/>
    <s v="Solidarites"/>
    <s v="Kachin"/>
    <x v="5"/>
    <s v="Host Families"/>
    <m/>
    <n v="131"/>
    <m/>
    <n v="141"/>
    <m/>
    <m/>
    <m/>
    <m/>
    <m/>
    <m/>
    <m/>
    <m/>
    <m/>
    <m/>
    <m/>
    <m/>
    <m/>
    <m/>
    <m/>
    <m/>
    <m/>
    <m/>
    <m/>
    <m/>
    <m/>
    <m/>
    <m/>
    <m/>
    <m/>
    <m/>
    <m/>
    <m/>
    <m/>
    <n v="0"/>
    <m/>
    <m/>
    <m/>
    <s v="MMR001CMP163"/>
    <m/>
  </r>
  <r>
    <x v="47"/>
    <x v="7"/>
    <x v="1"/>
    <s v="Solidarites"/>
    <s v="Kachin"/>
    <x v="1"/>
    <s v="Pamati AG church"/>
    <m/>
    <n v="29"/>
    <m/>
    <m/>
    <m/>
    <m/>
    <m/>
    <m/>
    <m/>
    <m/>
    <m/>
    <m/>
    <m/>
    <m/>
    <m/>
    <m/>
    <m/>
    <m/>
    <m/>
    <m/>
    <m/>
    <m/>
    <m/>
    <m/>
    <m/>
    <m/>
    <m/>
    <m/>
    <m/>
    <m/>
    <m/>
    <m/>
    <m/>
    <n v="0"/>
    <m/>
    <m/>
    <m/>
    <s v=""/>
    <m/>
  </r>
  <r>
    <x v="48"/>
    <x v="8"/>
    <x v="0"/>
    <s v="KMSS_Bhamo"/>
    <s v="Kachin"/>
    <x v="5"/>
    <s v="Loi Je RC camp"/>
    <m/>
    <m/>
    <m/>
    <m/>
    <m/>
    <m/>
    <n v="15"/>
    <m/>
    <m/>
    <m/>
    <m/>
    <m/>
    <m/>
    <m/>
    <m/>
    <m/>
    <m/>
    <m/>
    <m/>
    <m/>
    <m/>
    <m/>
    <m/>
    <m/>
    <m/>
    <m/>
    <m/>
    <m/>
    <m/>
    <m/>
    <m/>
    <m/>
    <m/>
    <n v="0"/>
    <m/>
    <m/>
    <m/>
    <s v=""/>
    <m/>
  </r>
  <r>
    <x v="49"/>
    <x v="8"/>
    <x v="0"/>
    <s v="Shalom"/>
    <s v="Kachin"/>
    <x v="0"/>
    <s v="Waignmaw lhavo zonal"/>
    <m/>
    <m/>
    <m/>
    <n v="4"/>
    <n v="4"/>
    <n v="6"/>
    <n v="4"/>
    <n v="4"/>
    <n v="3"/>
    <m/>
    <n v="3"/>
    <n v="5"/>
    <m/>
    <m/>
    <m/>
    <m/>
    <n v="4"/>
    <m/>
    <m/>
    <m/>
    <m/>
    <m/>
    <m/>
    <m/>
    <m/>
    <m/>
    <m/>
    <m/>
    <m/>
    <m/>
    <m/>
    <m/>
    <m/>
    <n v="0"/>
    <m/>
    <m/>
    <m/>
    <s v=""/>
    <m/>
  </r>
  <r>
    <x v="49"/>
    <x v="8"/>
    <x v="0"/>
    <s v="Shalom"/>
    <s v="Kachin"/>
    <x v="0"/>
    <s v="Waignmaw AG"/>
    <m/>
    <m/>
    <m/>
    <n v="3"/>
    <n v="3"/>
    <n v="6"/>
    <n v="3"/>
    <n v="8"/>
    <n v="2"/>
    <m/>
    <n v="2"/>
    <n v="8"/>
    <m/>
    <m/>
    <m/>
    <m/>
    <n v="3"/>
    <m/>
    <m/>
    <m/>
    <m/>
    <m/>
    <m/>
    <m/>
    <m/>
    <m/>
    <m/>
    <m/>
    <m/>
    <m/>
    <m/>
    <m/>
    <m/>
    <n v="0"/>
    <m/>
    <m/>
    <m/>
    <s v=""/>
    <m/>
  </r>
  <r>
    <x v="50"/>
    <x v="8"/>
    <x v="1"/>
    <s v="Solidarites"/>
    <s v="Kachin"/>
    <x v="12"/>
    <s v="Tanai RC church (kinsa Ra)"/>
    <m/>
    <n v="31"/>
    <m/>
    <m/>
    <m/>
    <m/>
    <m/>
    <m/>
    <m/>
    <m/>
    <m/>
    <m/>
    <m/>
    <m/>
    <m/>
    <m/>
    <m/>
    <m/>
    <m/>
    <m/>
    <m/>
    <m/>
    <m/>
    <m/>
    <m/>
    <m/>
    <m/>
    <m/>
    <m/>
    <m/>
    <m/>
    <m/>
    <m/>
    <n v="0"/>
    <m/>
    <m/>
    <m/>
    <s v=""/>
    <m/>
  </r>
  <r>
    <x v="51"/>
    <x v="9"/>
    <x v="5"/>
    <s v="UNHCR"/>
    <s v="Kachin"/>
    <x v="1"/>
    <s v="Maw Hpawng Hka Nan Baptist Church"/>
    <m/>
    <m/>
    <m/>
    <n v="1"/>
    <n v="1"/>
    <n v="3"/>
    <n v="1"/>
    <s v=" "/>
    <n v="1"/>
    <m/>
    <n v="1"/>
    <n v="3"/>
    <m/>
    <m/>
    <m/>
    <m/>
    <n v="1"/>
    <m/>
    <m/>
    <m/>
    <m/>
    <m/>
    <m/>
    <m/>
    <m/>
    <m/>
    <m/>
    <m/>
    <m/>
    <m/>
    <m/>
    <m/>
    <m/>
    <n v="0"/>
    <m/>
    <m/>
    <m/>
    <s v="MMR001CMP020"/>
    <m/>
  </r>
  <r>
    <x v="51"/>
    <x v="9"/>
    <x v="5"/>
    <s v="UNHCR"/>
    <s v="Kachin"/>
    <x v="0"/>
    <s v="Qtr.2 Lhavo Zonal"/>
    <m/>
    <m/>
    <m/>
    <n v="4"/>
    <n v="4"/>
    <n v="6"/>
    <n v="4"/>
    <n v="4"/>
    <n v="3"/>
    <m/>
    <n v="3"/>
    <n v="5"/>
    <m/>
    <m/>
    <m/>
    <m/>
    <n v="4"/>
    <m/>
    <m/>
    <m/>
    <m/>
    <m/>
    <m/>
    <m/>
    <m/>
    <m/>
    <m/>
    <m/>
    <m/>
    <m/>
    <m/>
    <m/>
    <m/>
    <n v="0"/>
    <m/>
    <m/>
    <m/>
    <s v=""/>
    <m/>
  </r>
  <r>
    <x v="51"/>
    <x v="9"/>
    <x v="5"/>
    <s v="UNHCR"/>
    <s v="Kachin"/>
    <x v="0"/>
    <s v="waing maw AG"/>
    <m/>
    <m/>
    <m/>
    <n v="2"/>
    <n v="2"/>
    <n v="3"/>
    <n v="2"/>
    <n v="5"/>
    <n v="1"/>
    <m/>
    <n v="1"/>
    <n v="5"/>
    <m/>
    <m/>
    <m/>
    <m/>
    <n v="2"/>
    <m/>
    <m/>
    <m/>
    <m/>
    <m/>
    <m/>
    <m/>
    <m/>
    <m/>
    <m/>
    <m/>
    <m/>
    <m/>
    <m/>
    <m/>
    <m/>
    <n v="0"/>
    <m/>
    <m/>
    <m/>
    <s v=""/>
    <m/>
  </r>
  <r>
    <x v="52"/>
    <x v="9"/>
    <x v="6"/>
    <s v="UNHCR"/>
    <s v="Kachin"/>
    <x v="3"/>
    <s v="Je Yang Hka "/>
    <m/>
    <m/>
    <m/>
    <m/>
    <m/>
    <m/>
    <m/>
    <n v="3170"/>
    <m/>
    <m/>
    <m/>
    <m/>
    <m/>
    <n v="2536"/>
    <m/>
    <m/>
    <m/>
    <m/>
    <m/>
    <m/>
    <m/>
    <m/>
    <m/>
    <m/>
    <m/>
    <m/>
    <m/>
    <m/>
    <m/>
    <m/>
    <m/>
    <m/>
    <m/>
    <n v="1"/>
    <m/>
    <m/>
    <m/>
    <s v="MMR001CMP121"/>
    <s v="21/Dec/2017: Updated NFI distribution. Data source KMSS-M"/>
  </r>
  <r>
    <x v="53"/>
    <x v="9"/>
    <x v="6"/>
    <s v="UNHCR"/>
    <s v="Kachin"/>
    <x v="0"/>
    <s v="Post 6 Camp"/>
    <m/>
    <m/>
    <m/>
    <m/>
    <m/>
    <m/>
    <m/>
    <n v="182"/>
    <m/>
    <m/>
    <m/>
    <m/>
    <n v="137"/>
    <n v="264"/>
    <m/>
    <m/>
    <m/>
    <m/>
    <m/>
    <m/>
    <m/>
    <m/>
    <m/>
    <m/>
    <m/>
    <m/>
    <m/>
    <m/>
    <m/>
    <m/>
    <m/>
    <m/>
    <m/>
    <n v="1"/>
    <m/>
    <m/>
    <m/>
    <s v="MMR001CMP160"/>
    <s v="21/Dec/2017: Updated NFI distribution. Data source KMSS-M"/>
  </r>
  <r>
    <x v="54"/>
    <x v="9"/>
    <x v="6"/>
    <s v="UNHCR"/>
    <s v="Kachin"/>
    <x v="3"/>
    <s v="Dum Bung "/>
    <m/>
    <m/>
    <m/>
    <m/>
    <m/>
    <m/>
    <m/>
    <n v="196"/>
    <m/>
    <m/>
    <m/>
    <m/>
    <n v="195"/>
    <n v="214"/>
    <m/>
    <m/>
    <m/>
    <m/>
    <m/>
    <m/>
    <m/>
    <m/>
    <m/>
    <m/>
    <m/>
    <m/>
    <m/>
    <m/>
    <m/>
    <m/>
    <m/>
    <m/>
    <m/>
    <n v="1"/>
    <m/>
    <m/>
    <m/>
    <s v="MMR001CMP123"/>
    <s v="21/Dec/2017: Updated NFI distribution. Data source KMSS-M"/>
  </r>
  <r>
    <x v="55"/>
    <x v="9"/>
    <x v="6"/>
    <s v="UNHCR"/>
    <s v="Kachin"/>
    <x v="0"/>
    <s v="Border Post 8"/>
    <m/>
    <m/>
    <m/>
    <m/>
    <m/>
    <m/>
    <m/>
    <n v="304"/>
    <m/>
    <m/>
    <m/>
    <m/>
    <n v="348"/>
    <n v="269"/>
    <m/>
    <m/>
    <m/>
    <m/>
    <m/>
    <m/>
    <m/>
    <m/>
    <m/>
    <m/>
    <m/>
    <m/>
    <m/>
    <m/>
    <m/>
    <m/>
    <m/>
    <m/>
    <m/>
    <n v="1"/>
    <m/>
    <m/>
    <m/>
    <s v="MMR001CMP113"/>
    <s v="21/Dec/2017: Updated NFI distribution. Data source KMSS-M"/>
  </r>
  <r>
    <x v="56"/>
    <x v="9"/>
    <x v="2"/>
    <s v="NRC"/>
    <s v="Kachin"/>
    <x v="3"/>
    <s v="Daw Hpum Yang Boarder Camp"/>
    <n v="69"/>
    <m/>
    <m/>
    <m/>
    <m/>
    <m/>
    <m/>
    <m/>
    <m/>
    <m/>
    <m/>
    <m/>
    <m/>
    <m/>
    <m/>
    <m/>
    <m/>
    <m/>
    <m/>
    <m/>
    <m/>
    <m/>
    <m/>
    <m/>
    <m/>
    <m/>
    <m/>
    <m/>
    <m/>
    <m/>
    <m/>
    <m/>
    <m/>
    <n v="0"/>
    <m/>
    <m/>
    <m/>
    <s v=""/>
    <m/>
  </r>
  <r>
    <x v="57"/>
    <x v="10"/>
    <x v="7"/>
    <s v="RI"/>
    <s v="Shan_North"/>
    <x v="11"/>
    <s v="Kyu Sot"/>
    <m/>
    <m/>
    <m/>
    <m/>
    <m/>
    <m/>
    <m/>
    <m/>
    <m/>
    <m/>
    <m/>
    <m/>
    <m/>
    <m/>
    <n v="60"/>
    <m/>
    <m/>
    <m/>
    <m/>
    <m/>
    <m/>
    <m/>
    <m/>
    <m/>
    <m/>
    <m/>
    <m/>
    <m/>
    <m/>
    <m/>
    <m/>
    <m/>
    <m/>
    <n v="1"/>
    <m/>
    <m/>
    <m/>
    <s v="MMR015CMP248"/>
    <m/>
  </r>
  <r>
    <x v="57"/>
    <x v="10"/>
    <x v="7"/>
    <s v="RI"/>
    <s v="Shan_North"/>
    <x v="11"/>
    <s v="Nam Tu Baptist"/>
    <m/>
    <m/>
    <m/>
    <m/>
    <m/>
    <m/>
    <m/>
    <m/>
    <m/>
    <m/>
    <m/>
    <m/>
    <m/>
    <m/>
    <n v="46"/>
    <m/>
    <m/>
    <m/>
    <m/>
    <m/>
    <m/>
    <m/>
    <m/>
    <m/>
    <m/>
    <m/>
    <m/>
    <m/>
    <m/>
    <m/>
    <m/>
    <m/>
    <m/>
    <n v="1"/>
    <m/>
    <m/>
    <m/>
    <s v="MMR015CMP014"/>
    <m/>
  </r>
  <r>
    <x v="58"/>
    <x v="10"/>
    <x v="0"/>
    <s v="Shalom"/>
    <s v="Kachin"/>
    <x v="1"/>
    <s v="Ka bu dam village"/>
    <m/>
    <m/>
    <m/>
    <m/>
    <m/>
    <m/>
    <m/>
    <n v="50"/>
    <m/>
    <m/>
    <m/>
    <m/>
    <n v="36"/>
    <n v="13"/>
    <m/>
    <m/>
    <m/>
    <m/>
    <m/>
    <m/>
    <m/>
    <m/>
    <m/>
    <m/>
    <m/>
    <m/>
    <m/>
    <m/>
    <m/>
    <m/>
    <m/>
    <m/>
    <m/>
    <n v="1"/>
    <m/>
    <m/>
    <m/>
    <s v=""/>
    <m/>
  </r>
  <r>
    <x v="59"/>
    <x v="10"/>
    <x v="7"/>
    <s v="RI"/>
    <s v="Shan_North"/>
    <x v="13"/>
    <s v="Muse Baptist Church"/>
    <m/>
    <m/>
    <m/>
    <m/>
    <m/>
    <m/>
    <m/>
    <m/>
    <m/>
    <m/>
    <m/>
    <m/>
    <m/>
    <m/>
    <n v="43"/>
    <m/>
    <m/>
    <m/>
    <m/>
    <m/>
    <m/>
    <m/>
    <m/>
    <m/>
    <m/>
    <m/>
    <m/>
    <m/>
    <m/>
    <m/>
    <m/>
    <m/>
    <m/>
    <n v="1"/>
    <m/>
    <m/>
    <m/>
    <s v="MMR015CMP213"/>
    <m/>
  </r>
  <r>
    <x v="59"/>
    <x v="10"/>
    <x v="7"/>
    <s v="RI"/>
    <s v="Shan_North"/>
    <x v="13"/>
    <s v="Muse Catholic Church"/>
    <m/>
    <m/>
    <m/>
    <m/>
    <m/>
    <m/>
    <m/>
    <m/>
    <m/>
    <m/>
    <m/>
    <m/>
    <m/>
    <m/>
    <n v="22"/>
    <m/>
    <m/>
    <m/>
    <m/>
    <m/>
    <m/>
    <m/>
    <m/>
    <m/>
    <m/>
    <m/>
    <m/>
    <m/>
    <m/>
    <m/>
    <m/>
    <m/>
    <m/>
    <n v="1"/>
    <m/>
    <m/>
    <m/>
    <s v="MMR015CMP216"/>
    <m/>
  </r>
  <r>
    <x v="60"/>
    <x v="11"/>
    <x v="4"/>
    <m/>
    <s v="Kachin"/>
    <x v="3"/>
    <s v="Loi Je Baptist Church"/>
    <m/>
    <m/>
    <m/>
    <m/>
    <m/>
    <m/>
    <m/>
    <m/>
    <m/>
    <m/>
    <m/>
    <m/>
    <m/>
    <m/>
    <m/>
    <n v="93"/>
    <m/>
    <m/>
    <m/>
    <m/>
    <m/>
    <m/>
    <m/>
    <m/>
    <m/>
    <m/>
    <m/>
    <m/>
    <m/>
    <m/>
    <m/>
    <m/>
    <m/>
    <n v="1"/>
    <m/>
    <m/>
    <m/>
    <s v="MMR001CMP071"/>
    <m/>
  </r>
  <r>
    <x v="60"/>
    <x v="11"/>
    <x v="4"/>
    <m/>
    <s v="Kachin"/>
    <x v="3"/>
    <s v="Loi Je Catholic Church"/>
    <m/>
    <m/>
    <m/>
    <m/>
    <m/>
    <m/>
    <m/>
    <m/>
    <m/>
    <m/>
    <m/>
    <m/>
    <m/>
    <m/>
    <m/>
    <n v="143"/>
    <m/>
    <m/>
    <m/>
    <m/>
    <m/>
    <m/>
    <m/>
    <m/>
    <m/>
    <m/>
    <m/>
    <m/>
    <m/>
    <m/>
    <m/>
    <m/>
    <m/>
    <n v="1"/>
    <m/>
    <m/>
    <m/>
    <s v="MMR001CMP069"/>
    <m/>
  </r>
  <r>
    <x v="60"/>
    <x v="11"/>
    <x v="4"/>
    <m/>
    <s v="Kachin"/>
    <x v="3"/>
    <s v="Loi Je Lisu Camp"/>
    <m/>
    <m/>
    <m/>
    <m/>
    <m/>
    <m/>
    <m/>
    <m/>
    <m/>
    <m/>
    <m/>
    <m/>
    <m/>
    <m/>
    <m/>
    <n v="474"/>
    <m/>
    <m/>
    <m/>
    <m/>
    <m/>
    <m/>
    <m/>
    <m/>
    <m/>
    <m/>
    <m/>
    <m/>
    <m/>
    <m/>
    <m/>
    <m/>
    <m/>
    <n v="1"/>
    <m/>
    <m/>
    <m/>
    <s v="MMR001CMP070"/>
    <m/>
  </r>
  <r>
    <x v="60"/>
    <x v="11"/>
    <x v="4"/>
    <m/>
    <s v="Kachin"/>
    <x v="3"/>
    <s v="Nyaung Na Pin "/>
    <m/>
    <m/>
    <m/>
    <m/>
    <m/>
    <m/>
    <m/>
    <m/>
    <m/>
    <m/>
    <m/>
    <m/>
    <m/>
    <m/>
    <m/>
    <n v="122"/>
    <m/>
    <m/>
    <m/>
    <m/>
    <m/>
    <m/>
    <m/>
    <m/>
    <m/>
    <m/>
    <m/>
    <m/>
    <m/>
    <m/>
    <m/>
    <m/>
    <m/>
    <n v="1"/>
    <m/>
    <m/>
    <m/>
    <s v="MMR001CMP072"/>
    <m/>
  </r>
  <r>
    <x v="60"/>
    <x v="11"/>
    <x v="4"/>
    <m/>
    <s v="Kachin"/>
    <x v="3"/>
    <s v="Seng Ja "/>
    <m/>
    <m/>
    <m/>
    <m/>
    <m/>
    <m/>
    <m/>
    <m/>
    <m/>
    <m/>
    <m/>
    <m/>
    <m/>
    <m/>
    <m/>
    <n v="101"/>
    <m/>
    <m/>
    <m/>
    <m/>
    <m/>
    <m/>
    <m/>
    <m/>
    <m/>
    <m/>
    <m/>
    <m/>
    <m/>
    <m/>
    <m/>
    <m/>
    <m/>
    <n v="1"/>
    <m/>
    <m/>
    <m/>
    <s v="MMR001CMP073"/>
    <m/>
  </r>
  <r>
    <x v="61"/>
    <x v="11"/>
    <x v="7"/>
    <s v="RI"/>
    <s v="Shan_North"/>
    <x v="11"/>
    <s v="B.E.H.S(1)"/>
    <m/>
    <m/>
    <m/>
    <n v="15"/>
    <m/>
    <m/>
    <m/>
    <m/>
    <m/>
    <m/>
    <m/>
    <m/>
    <m/>
    <m/>
    <n v="15"/>
    <m/>
    <m/>
    <m/>
    <m/>
    <m/>
    <m/>
    <m/>
    <m/>
    <m/>
    <m/>
    <m/>
    <m/>
    <m/>
    <m/>
    <m/>
    <m/>
    <m/>
    <m/>
    <n v="1"/>
    <m/>
    <m/>
    <m/>
    <s v=""/>
    <m/>
  </r>
  <r>
    <x v="62"/>
    <x v="11"/>
    <x v="8"/>
    <s v="UNFPA"/>
    <s v="Shan_North"/>
    <x v="14"/>
    <s v="Namhkan - Pang Long KBC"/>
    <m/>
    <m/>
    <n v="10"/>
    <m/>
    <m/>
    <m/>
    <m/>
    <m/>
    <m/>
    <m/>
    <m/>
    <m/>
    <m/>
    <m/>
    <m/>
    <m/>
    <m/>
    <m/>
    <m/>
    <m/>
    <m/>
    <m/>
    <m/>
    <m/>
    <m/>
    <m/>
    <m/>
    <m/>
    <m/>
    <m/>
    <m/>
    <m/>
    <m/>
    <n v="0"/>
    <m/>
    <m/>
    <m/>
    <s v="MMR015CMP215"/>
    <m/>
  </r>
  <r>
    <x v="63"/>
    <x v="11"/>
    <x v="8"/>
    <s v="UNFPA"/>
    <s v="Shan_North"/>
    <x v="14"/>
    <s v="Namhkan - Pang Long KBC"/>
    <m/>
    <m/>
    <n v="8"/>
    <m/>
    <m/>
    <m/>
    <m/>
    <m/>
    <m/>
    <m/>
    <m/>
    <m/>
    <m/>
    <m/>
    <m/>
    <m/>
    <m/>
    <m/>
    <m/>
    <m/>
    <m/>
    <m/>
    <m/>
    <m/>
    <m/>
    <m/>
    <m/>
    <m/>
    <m/>
    <m/>
    <m/>
    <m/>
    <m/>
    <n v="0"/>
    <m/>
    <m/>
    <m/>
    <s v="MMR015CMP215"/>
    <m/>
  </r>
  <r>
    <x v="64"/>
    <x v="11"/>
    <x v="4"/>
    <m/>
    <s v="Kachin"/>
    <x v="5"/>
    <s v="AD-2000"/>
    <m/>
    <m/>
    <m/>
    <m/>
    <m/>
    <m/>
    <m/>
    <m/>
    <m/>
    <m/>
    <m/>
    <m/>
    <m/>
    <m/>
    <m/>
    <n v="257"/>
    <m/>
    <m/>
    <m/>
    <m/>
    <m/>
    <m/>
    <m/>
    <m/>
    <m/>
    <m/>
    <m/>
    <m/>
    <m/>
    <m/>
    <m/>
    <m/>
    <m/>
    <n v="1"/>
    <m/>
    <m/>
    <m/>
    <s v=""/>
    <m/>
  </r>
  <r>
    <x v="64"/>
    <x v="11"/>
    <x v="4"/>
    <m/>
    <s v="Kachin"/>
    <x v="5"/>
    <s v="Lisu Boarding-House"/>
    <m/>
    <m/>
    <m/>
    <m/>
    <m/>
    <m/>
    <m/>
    <m/>
    <m/>
    <m/>
    <m/>
    <m/>
    <m/>
    <m/>
    <m/>
    <n v="130"/>
    <m/>
    <m/>
    <m/>
    <m/>
    <m/>
    <m/>
    <m/>
    <m/>
    <m/>
    <m/>
    <m/>
    <m/>
    <m/>
    <m/>
    <m/>
    <m/>
    <m/>
    <n v="1"/>
    <m/>
    <m/>
    <m/>
    <s v="MMR001CMP049"/>
    <m/>
  </r>
  <r>
    <x v="64"/>
    <x v="11"/>
    <x v="4"/>
    <m/>
    <s v="Kachin"/>
    <x v="5"/>
    <s v="Nant Hlaing "/>
    <m/>
    <m/>
    <m/>
    <m/>
    <m/>
    <m/>
    <m/>
    <m/>
    <m/>
    <m/>
    <m/>
    <m/>
    <m/>
    <m/>
    <m/>
    <n v="21"/>
    <m/>
    <m/>
    <m/>
    <m/>
    <m/>
    <m/>
    <m/>
    <m/>
    <m/>
    <m/>
    <m/>
    <m/>
    <m/>
    <m/>
    <m/>
    <m/>
    <m/>
    <n v="1"/>
    <m/>
    <m/>
    <m/>
    <s v=""/>
    <m/>
  </r>
  <r>
    <x v="64"/>
    <x v="11"/>
    <x v="4"/>
    <m/>
    <s v="Kachin"/>
    <x v="5"/>
    <s v="Phan Khar Kone"/>
    <m/>
    <m/>
    <m/>
    <m/>
    <m/>
    <m/>
    <m/>
    <m/>
    <m/>
    <m/>
    <m/>
    <m/>
    <m/>
    <m/>
    <m/>
    <n v="144"/>
    <m/>
    <m/>
    <m/>
    <m/>
    <m/>
    <m/>
    <m/>
    <m/>
    <m/>
    <m/>
    <m/>
    <m/>
    <m/>
    <m/>
    <m/>
    <m/>
    <m/>
    <n v="1"/>
    <m/>
    <m/>
    <m/>
    <s v="MMR001CMP193"/>
    <m/>
  </r>
  <r>
    <x v="64"/>
    <x v="11"/>
    <x v="4"/>
    <m/>
    <s v="Kachin"/>
    <x v="5"/>
    <s v="Ta Gun Taing Monastery (Shwe Kyi Na)"/>
    <m/>
    <m/>
    <m/>
    <m/>
    <m/>
    <m/>
    <m/>
    <m/>
    <m/>
    <m/>
    <m/>
    <m/>
    <m/>
    <m/>
    <m/>
    <n v="20"/>
    <m/>
    <m/>
    <m/>
    <m/>
    <m/>
    <m/>
    <m/>
    <m/>
    <m/>
    <m/>
    <m/>
    <m/>
    <m/>
    <m/>
    <m/>
    <m/>
    <m/>
    <n v="1"/>
    <m/>
    <m/>
    <m/>
    <s v="MMR001CMP055"/>
    <m/>
  </r>
  <r>
    <x v="64"/>
    <x v="11"/>
    <x v="4"/>
    <m/>
    <s v="Kachin"/>
    <x v="5"/>
    <s v="Yoe Kyi Monastery"/>
    <m/>
    <m/>
    <m/>
    <m/>
    <m/>
    <m/>
    <m/>
    <m/>
    <m/>
    <m/>
    <m/>
    <m/>
    <m/>
    <m/>
    <m/>
    <n v="14"/>
    <m/>
    <m/>
    <m/>
    <m/>
    <m/>
    <m/>
    <m/>
    <m/>
    <m/>
    <m/>
    <m/>
    <m/>
    <m/>
    <m/>
    <m/>
    <m/>
    <m/>
    <n v="1"/>
    <m/>
    <m/>
    <m/>
    <s v="MMR001CMP053"/>
    <m/>
  </r>
  <r>
    <x v="64"/>
    <x v="11"/>
    <x v="4"/>
    <m/>
    <s v="Kachin"/>
    <x v="5"/>
    <s v="Mu-yin Baptist Church"/>
    <m/>
    <m/>
    <m/>
    <m/>
    <m/>
    <m/>
    <m/>
    <m/>
    <m/>
    <m/>
    <m/>
    <m/>
    <m/>
    <m/>
    <m/>
    <n v="13"/>
    <m/>
    <m/>
    <m/>
    <m/>
    <m/>
    <m/>
    <m/>
    <m/>
    <m/>
    <m/>
    <m/>
    <m/>
    <m/>
    <m/>
    <m/>
    <m/>
    <m/>
    <n v="1"/>
    <m/>
    <m/>
    <m/>
    <s v="MMR001CMP051"/>
    <m/>
  </r>
  <r>
    <x v="64"/>
    <x v="11"/>
    <x v="4"/>
    <m/>
    <s v="Kachin"/>
    <x v="5"/>
    <s v="Htoi San Church"/>
    <m/>
    <m/>
    <m/>
    <m/>
    <m/>
    <m/>
    <m/>
    <m/>
    <m/>
    <m/>
    <m/>
    <m/>
    <m/>
    <m/>
    <m/>
    <n v="39"/>
    <m/>
    <m/>
    <m/>
    <m/>
    <m/>
    <m/>
    <m/>
    <m/>
    <m/>
    <m/>
    <m/>
    <m/>
    <m/>
    <m/>
    <m/>
    <m/>
    <m/>
    <n v="1"/>
    <m/>
    <m/>
    <m/>
    <s v="MMR001CMP052"/>
    <m/>
  </r>
  <r>
    <x v="64"/>
    <x v="11"/>
    <x v="4"/>
    <m/>
    <s v="Kachin"/>
    <x v="5"/>
    <s v="Robert Church"/>
    <m/>
    <m/>
    <m/>
    <m/>
    <m/>
    <m/>
    <m/>
    <m/>
    <m/>
    <m/>
    <m/>
    <m/>
    <m/>
    <m/>
    <m/>
    <n v="508"/>
    <m/>
    <m/>
    <m/>
    <m/>
    <m/>
    <m/>
    <m/>
    <m/>
    <m/>
    <m/>
    <m/>
    <m/>
    <m/>
    <m/>
    <m/>
    <m/>
    <m/>
    <n v="1"/>
    <m/>
    <m/>
    <m/>
    <s v="MMR001CMP047"/>
    <m/>
  </r>
  <r>
    <x v="64"/>
    <x v="11"/>
    <x v="4"/>
    <m/>
    <s v="Kachin"/>
    <x v="3"/>
    <s v="Mandalay Monastery"/>
    <m/>
    <m/>
    <m/>
    <m/>
    <m/>
    <m/>
    <m/>
    <m/>
    <m/>
    <m/>
    <m/>
    <m/>
    <m/>
    <m/>
    <m/>
    <n v="5"/>
    <m/>
    <m/>
    <m/>
    <m/>
    <m/>
    <m/>
    <m/>
    <m/>
    <m/>
    <m/>
    <m/>
    <m/>
    <m/>
    <m/>
    <m/>
    <m/>
    <m/>
    <n v="1"/>
    <m/>
    <m/>
    <m/>
    <s v=""/>
    <m/>
  </r>
  <r>
    <x v="64"/>
    <x v="11"/>
    <x v="4"/>
    <m/>
    <s v="Kachin"/>
    <x v="3"/>
    <s v="Man Bung Catholic compound"/>
    <m/>
    <m/>
    <m/>
    <m/>
    <m/>
    <m/>
    <m/>
    <m/>
    <m/>
    <m/>
    <m/>
    <m/>
    <m/>
    <m/>
    <m/>
    <n v="223"/>
    <m/>
    <m/>
    <m/>
    <m/>
    <m/>
    <m/>
    <m/>
    <m/>
    <m/>
    <m/>
    <m/>
    <m/>
    <m/>
    <m/>
    <m/>
    <m/>
    <m/>
    <n v="1"/>
    <m/>
    <m/>
    <m/>
    <s v="MMR001CMP062"/>
    <m/>
  </r>
  <r>
    <x v="64"/>
    <x v="11"/>
    <x v="4"/>
    <m/>
    <s v="Kachin"/>
    <x v="3"/>
    <s v="Momauk Baptist Church"/>
    <m/>
    <m/>
    <m/>
    <m/>
    <m/>
    <m/>
    <m/>
    <m/>
    <m/>
    <m/>
    <m/>
    <m/>
    <m/>
    <m/>
    <m/>
    <n v="383"/>
    <m/>
    <m/>
    <m/>
    <m/>
    <m/>
    <m/>
    <m/>
    <m/>
    <m/>
    <m/>
    <m/>
    <m/>
    <m/>
    <m/>
    <m/>
    <m/>
    <m/>
    <n v="1"/>
    <m/>
    <m/>
    <m/>
    <s v="MMR001CMP056"/>
    <m/>
  </r>
  <r>
    <x v="64"/>
    <x v="11"/>
    <x v="4"/>
    <m/>
    <s v="Kachin"/>
    <x v="1"/>
    <s v="Jan Mai Kawng Baptist Church"/>
    <m/>
    <m/>
    <m/>
    <m/>
    <m/>
    <m/>
    <m/>
    <m/>
    <m/>
    <m/>
    <m/>
    <m/>
    <m/>
    <m/>
    <m/>
    <n v="202"/>
    <m/>
    <m/>
    <m/>
    <m/>
    <m/>
    <m/>
    <m/>
    <m/>
    <m/>
    <m/>
    <m/>
    <m/>
    <m/>
    <m/>
    <m/>
    <m/>
    <m/>
    <n v="1"/>
    <m/>
    <m/>
    <m/>
    <s v="MMR001CMP018"/>
    <m/>
  </r>
  <r>
    <x v="64"/>
    <x v="11"/>
    <x v="4"/>
    <m/>
    <s v="Kachin"/>
    <x v="1"/>
    <s v="Jan Mai Kawng Catholic Church"/>
    <m/>
    <m/>
    <m/>
    <m/>
    <m/>
    <m/>
    <m/>
    <m/>
    <m/>
    <m/>
    <m/>
    <m/>
    <m/>
    <m/>
    <m/>
    <n v="86"/>
    <m/>
    <m/>
    <m/>
    <m/>
    <m/>
    <m/>
    <m/>
    <m/>
    <m/>
    <m/>
    <m/>
    <m/>
    <m/>
    <m/>
    <m/>
    <m/>
    <m/>
    <n v="1"/>
    <m/>
    <m/>
    <m/>
    <s v="MMR001CMP019"/>
    <m/>
  </r>
  <r>
    <x v="64"/>
    <x v="11"/>
    <x v="4"/>
    <m/>
    <s v="Kachin"/>
    <x v="1"/>
    <s v="Kyun Pin Thar Baptist Church"/>
    <m/>
    <m/>
    <m/>
    <m/>
    <m/>
    <m/>
    <m/>
    <m/>
    <m/>
    <m/>
    <m/>
    <m/>
    <m/>
    <m/>
    <m/>
    <n v="17"/>
    <m/>
    <m/>
    <m/>
    <m/>
    <m/>
    <m/>
    <m/>
    <m/>
    <m/>
    <m/>
    <m/>
    <m/>
    <m/>
    <m/>
    <m/>
    <m/>
    <m/>
    <n v="1"/>
    <m/>
    <m/>
    <m/>
    <s v="MMR001CMP013"/>
    <m/>
  </r>
  <r>
    <x v="64"/>
    <x v="11"/>
    <x v="4"/>
    <m/>
    <s v="Kachin"/>
    <x v="1"/>
    <s v="Le Kone Bethlehem Church"/>
    <m/>
    <m/>
    <m/>
    <m/>
    <m/>
    <m/>
    <m/>
    <m/>
    <m/>
    <m/>
    <m/>
    <m/>
    <m/>
    <m/>
    <m/>
    <n v="30"/>
    <m/>
    <m/>
    <m/>
    <m/>
    <m/>
    <m/>
    <m/>
    <m/>
    <m/>
    <m/>
    <m/>
    <m/>
    <m/>
    <m/>
    <m/>
    <m/>
    <m/>
    <n v="1"/>
    <m/>
    <m/>
    <m/>
    <s v="MMR001CMP015"/>
    <m/>
  </r>
  <r>
    <x v="64"/>
    <x v="11"/>
    <x v="4"/>
    <m/>
    <s v="Kachin"/>
    <x v="1"/>
    <s v="Le Kone Ziun Baptist Church "/>
    <m/>
    <m/>
    <m/>
    <m/>
    <m/>
    <m/>
    <m/>
    <m/>
    <m/>
    <m/>
    <m/>
    <m/>
    <m/>
    <m/>
    <m/>
    <n v="86"/>
    <m/>
    <m/>
    <m/>
    <m/>
    <m/>
    <m/>
    <m/>
    <m/>
    <m/>
    <m/>
    <m/>
    <m/>
    <m/>
    <m/>
    <m/>
    <m/>
    <m/>
    <n v="1"/>
    <m/>
    <m/>
    <m/>
    <s v="MMR001CMP014"/>
    <m/>
  </r>
  <r>
    <x v="64"/>
    <x v="11"/>
    <x v="4"/>
    <m/>
    <s v="Kachin"/>
    <x v="1"/>
    <s v="Maliyang Baptist Church"/>
    <m/>
    <m/>
    <m/>
    <m/>
    <m/>
    <m/>
    <m/>
    <m/>
    <m/>
    <m/>
    <m/>
    <m/>
    <m/>
    <m/>
    <m/>
    <n v="61"/>
    <m/>
    <m/>
    <m/>
    <m/>
    <m/>
    <m/>
    <m/>
    <m/>
    <m/>
    <m/>
    <m/>
    <m/>
    <m/>
    <m/>
    <m/>
    <m/>
    <m/>
    <n v="1"/>
    <m/>
    <m/>
    <m/>
    <s v="MMR001CMP016"/>
    <m/>
  </r>
  <r>
    <x v="64"/>
    <x v="11"/>
    <x v="4"/>
    <m/>
    <s v="Kachin"/>
    <x v="1"/>
    <s v="Man Hkring Baptist Church"/>
    <m/>
    <m/>
    <m/>
    <m/>
    <m/>
    <m/>
    <m/>
    <m/>
    <m/>
    <m/>
    <m/>
    <m/>
    <m/>
    <m/>
    <m/>
    <n v="103"/>
    <m/>
    <m/>
    <m/>
    <m/>
    <m/>
    <m/>
    <m/>
    <m/>
    <m/>
    <m/>
    <m/>
    <m/>
    <m/>
    <m/>
    <m/>
    <m/>
    <m/>
    <n v="1"/>
    <m/>
    <m/>
    <m/>
    <s v="MMR001CMP008"/>
    <m/>
  </r>
  <r>
    <x v="64"/>
    <x v="11"/>
    <x v="4"/>
    <m/>
    <s v="Kachin"/>
    <x v="1"/>
    <s v="Maw Hpawng Hka Nan Baptist Church"/>
    <m/>
    <m/>
    <m/>
    <m/>
    <m/>
    <m/>
    <m/>
    <m/>
    <m/>
    <m/>
    <m/>
    <m/>
    <m/>
    <m/>
    <m/>
    <n v="24"/>
    <m/>
    <m/>
    <m/>
    <m/>
    <m/>
    <m/>
    <m/>
    <m/>
    <m/>
    <m/>
    <m/>
    <m/>
    <m/>
    <m/>
    <m/>
    <m/>
    <m/>
    <n v="1"/>
    <m/>
    <m/>
    <m/>
    <s v="MMR001CMP020"/>
    <m/>
  </r>
  <r>
    <x v="64"/>
    <x v="11"/>
    <x v="4"/>
    <m/>
    <s v="Kachin"/>
    <x v="1"/>
    <s v="Maw Hpawng Lhaovo Baptist Church"/>
    <m/>
    <m/>
    <m/>
    <m/>
    <m/>
    <m/>
    <m/>
    <m/>
    <m/>
    <m/>
    <m/>
    <m/>
    <m/>
    <m/>
    <m/>
    <n v="14"/>
    <m/>
    <m/>
    <m/>
    <m/>
    <m/>
    <m/>
    <m/>
    <m/>
    <m/>
    <m/>
    <m/>
    <m/>
    <m/>
    <m/>
    <m/>
    <m/>
    <m/>
    <n v="1"/>
    <m/>
    <m/>
    <m/>
    <s v="MMR001CMP021"/>
    <m/>
  </r>
  <r>
    <x v="64"/>
    <x v="11"/>
    <x v="4"/>
    <m/>
    <s v="Kachin"/>
    <x v="1"/>
    <s v="Nan Kway St. John Catholic Church"/>
    <m/>
    <m/>
    <m/>
    <m/>
    <m/>
    <m/>
    <m/>
    <m/>
    <m/>
    <m/>
    <m/>
    <m/>
    <m/>
    <m/>
    <m/>
    <n v="60"/>
    <m/>
    <m/>
    <m/>
    <m/>
    <m/>
    <m/>
    <m/>
    <m/>
    <m/>
    <m/>
    <m/>
    <m/>
    <m/>
    <m/>
    <m/>
    <m/>
    <m/>
    <n v="1"/>
    <m/>
    <m/>
    <m/>
    <s v="MMR001CMP024"/>
    <m/>
  </r>
  <r>
    <x v="64"/>
    <x v="11"/>
    <x v="4"/>
    <m/>
    <s v="Kachin"/>
    <x v="1"/>
    <s v="Njang Dung Baptist Church "/>
    <m/>
    <m/>
    <m/>
    <m/>
    <m/>
    <m/>
    <m/>
    <m/>
    <m/>
    <m/>
    <m/>
    <m/>
    <m/>
    <m/>
    <m/>
    <n v="66"/>
    <m/>
    <m/>
    <m/>
    <m/>
    <m/>
    <m/>
    <m/>
    <m/>
    <m/>
    <m/>
    <m/>
    <m/>
    <m/>
    <m/>
    <m/>
    <m/>
    <m/>
    <n v="1"/>
    <m/>
    <m/>
    <m/>
    <s v="MMR001CMP002"/>
    <m/>
  </r>
  <r>
    <x v="64"/>
    <x v="11"/>
    <x v="4"/>
    <m/>
    <s v="Kachin"/>
    <x v="1"/>
    <s v="Pa Dauk Myaing(Pa La Na)"/>
    <m/>
    <m/>
    <m/>
    <m/>
    <m/>
    <m/>
    <m/>
    <m/>
    <m/>
    <m/>
    <m/>
    <m/>
    <m/>
    <m/>
    <m/>
    <n v="46"/>
    <m/>
    <m/>
    <m/>
    <m/>
    <m/>
    <m/>
    <m/>
    <m/>
    <m/>
    <m/>
    <m/>
    <m/>
    <m/>
    <m/>
    <m/>
    <m/>
    <m/>
    <n v="1"/>
    <m/>
    <m/>
    <m/>
    <s v="MMR001CMP162"/>
    <m/>
  </r>
  <r>
    <x v="64"/>
    <x v="11"/>
    <x v="4"/>
    <m/>
    <s v="Kachin"/>
    <x v="1"/>
    <s v="Shatapru Sut Ngai Tawng"/>
    <m/>
    <m/>
    <m/>
    <m/>
    <m/>
    <m/>
    <m/>
    <m/>
    <m/>
    <m/>
    <m/>
    <m/>
    <m/>
    <m/>
    <m/>
    <n v="119"/>
    <m/>
    <m/>
    <m/>
    <m/>
    <m/>
    <m/>
    <m/>
    <m/>
    <m/>
    <m/>
    <m/>
    <m/>
    <m/>
    <m/>
    <m/>
    <m/>
    <m/>
    <n v="1"/>
    <m/>
    <m/>
    <m/>
    <s v="MMR001CMP006"/>
    <m/>
  </r>
  <r>
    <x v="64"/>
    <x v="11"/>
    <x v="4"/>
    <m/>
    <s v="Kachin"/>
    <x v="1"/>
    <s v="Shatapru Thida Aye Baptist Church"/>
    <m/>
    <m/>
    <m/>
    <m/>
    <m/>
    <m/>
    <m/>
    <m/>
    <m/>
    <m/>
    <m/>
    <m/>
    <m/>
    <m/>
    <m/>
    <n v="23"/>
    <m/>
    <m/>
    <m/>
    <m/>
    <m/>
    <m/>
    <m/>
    <m/>
    <m/>
    <m/>
    <m/>
    <m/>
    <m/>
    <m/>
    <m/>
    <m/>
    <m/>
    <n v="1"/>
    <m/>
    <m/>
    <m/>
    <s v="MMR001CMP007"/>
    <m/>
  </r>
  <r>
    <x v="64"/>
    <x v="11"/>
    <x v="4"/>
    <m/>
    <s v="Kachin"/>
    <x v="1"/>
    <s v="Shwe Zet Baptist Church"/>
    <m/>
    <m/>
    <m/>
    <m/>
    <m/>
    <m/>
    <m/>
    <m/>
    <m/>
    <m/>
    <m/>
    <m/>
    <m/>
    <m/>
    <m/>
    <n v="91"/>
    <m/>
    <m/>
    <m/>
    <m/>
    <m/>
    <m/>
    <m/>
    <m/>
    <m/>
    <m/>
    <m/>
    <m/>
    <m/>
    <m/>
    <m/>
    <m/>
    <m/>
    <n v="1"/>
    <m/>
    <m/>
    <m/>
    <s v="MMR001CMP009"/>
    <m/>
  </r>
  <r>
    <x v="64"/>
    <x v="11"/>
    <x v="4"/>
    <m/>
    <s v="Kachin"/>
    <x v="1"/>
    <s v="Tat Kone Baptist Church"/>
    <m/>
    <m/>
    <m/>
    <m/>
    <m/>
    <m/>
    <m/>
    <m/>
    <m/>
    <m/>
    <m/>
    <m/>
    <m/>
    <m/>
    <m/>
    <n v="69"/>
    <m/>
    <m/>
    <m/>
    <m/>
    <m/>
    <m/>
    <m/>
    <m/>
    <m/>
    <m/>
    <m/>
    <m/>
    <m/>
    <m/>
    <m/>
    <m/>
    <m/>
    <n v="1"/>
    <m/>
    <m/>
    <m/>
    <s v="MMR001CMP001"/>
    <m/>
  </r>
  <r>
    <x v="64"/>
    <x v="11"/>
    <x v="4"/>
    <m/>
    <s v="Kachin"/>
    <x v="1"/>
    <s v="Tat Kone Emanuel Church"/>
    <m/>
    <m/>
    <m/>
    <m/>
    <m/>
    <m/>
    <m/>
    <m/>
    <m/>
    <m/>
    <m/>
    <m/>
    <m/>
    <m/>
    <m/>
    <n v="7"/>
    <m/>
    <m/>
    <m/>
    <m/>
    <m/>
    <m/>
    <m/>
    <m/>
    <m/>
    <m/>
    <m/>
    <m/>
    <m/>
    <m/>
    <m/>
    <m/>
    <m/>
    <n v="1"/>
    <m/>
    <m/>
    <m/>
    <s v="MMR001CMP004"/>
    <m/>
  </r>
  <r>
    <x v="64"/>
    <x v="11"/>
    <x v="4"/>
    <m/>
    <s v="Kachin"/>
    <x v="1"/>
    <s v="Tat Kone Galile Baptist Church"/>
    <m/>
    <m/>
    <m/>
    <m/>
    <m/>
    <m/>
    <m/>
    <m/>
    <m/>
    <m/>
    <m/>
    <m/>
    <m/>
    <m/>
    <m/>
    <n v="30"/>
    <m/>
    <m/>
    <m/>
    <m/>
    <m/>
    <m/>
    <m/>
    <m/>
    <m/>
    <m/>
    <m/>
    <m/>
    <m/>
    <m/>
    <m/>
    <m/>
    <m/>
    <n v="1"/>
    <m/>
    <m/>
    <m/>
    <s v="MMR001CMP003"/>
    <m/>
  </r>
  <r>
    <x v="64"/>
    <x v="11"/>
    <x v="4"/>
    <m/>
    <s v="Kachin"/>
    <x v="1"/>
    <s v="Tat Kone San Pya Baptist Church"/>
    <m/>
    <m/>
    <m/>
    <m/>
    <m/>
    <m/>
    <m/>
    <m/>
    <m/>
    <m/>
    <m/>
    <m/>
    <m/>
    <m/>
    <m/>
    <n v="46"/>
    <m/>
    <m/>
    <m/>
    <m/>
    <m/>
    <m/>
    <m/>
    <m/>
    <m/>
    <m/>
    <m/>
    <m/>
    <m/>
    <m/>
    <m/>
    <m/>
    <m/>
    <n v="1"/>
    <m/>
    <m/>
    <m/>
    <s v="MMR001CMP005"/>
    <m/>
  </r>
  <r>
    <x v="64"/>
    <x v="11"/>
    <x v="4"/>
    <m/>
    <s v="Kachin"/>
    <x v="1"/>
    <s v="Tat Kone COC Baptist - Tat Kone Htoi San"/>
    <m/>
    <m/>
    <m/>
    <m/>
    <m/>
    <m/>
    <m/>
    <m/>
    <m/>
    <m/>
    <m/>
    <m/>
    <m/>
    <m/>
    <m/>
    <n v="54"/>
    <m/>
    <m/>
    <m/>
    <m/>
    <m/>
    <m/>
    <m/>
    <m/>
    <m/>
    <m/>
    <m/>
    <m/>
    <m/>
    <m/>
    <m/>
    <m/>
    <m/>
    <n v="1"/>
    <m/>
    <m/>
    <m/>
    <s v="MMR001CMP023"/>
    <m/>
  </r>
  <r>
    <x v="64"/>
    <x v="11"/>
    <x v="4"/>
    <m/>
    <s v="Kachin"/>
    <x v="1"/>
    <s v="Du Kahtawng Baptist"/>
    <m/>
    <m/>
    <m/>
    <m/>
    <m/>
    <m/>
    <m/>
    <m/>
    <m/>
    <m/>
    <m/>
    <m/>
    <m/>
    <m/>
    <m/>
    <n v="20"/>
    <m/>
    <m/>
    <m/>
    <m/>
    <m/>
    <m/>
    <m/>
    <m/>
    <m/>
    <m/>
    <m/>
    <m/>
    <m/>
    <m/>
    <m/>
    <m/>
    <m/>
    <n v="1"/>
    <m/>
    <m/>
    <m/>
    <s v="MMR001CMP010"/>
    <m/>
  </r>
  <r>
    <x v="64"/>
    <x v="11"/>
    <x v="4"/>
    <m/>
    <s v="Kachin"/>
    <x v="15"/>
    <s v="Nawng Ing (Indawgyi) Baptist Church  "/>
    <m/>
    <m/>
    <m/>
    <m/>
    <m/>
    <m/>
    <m/>
    <m/>
    <m/>
    <m/>
    <m/>
    <m/>
    <m/>
    <m/>
    <m/>
    <n v="23"/>
    <m/>
    <m/>
    <m/>
    <m/>
    <m/>
    <m/>
    <m/>
    <m/>
    <m/>
    <m/>
    <m/>
    <m/>
    <m/>
    <m/>
    <m/>
    <m/>
    <m/>
    <n v="1"/>
    <m/>
    <m/>
    <m/>
    <s v="MMR001CMP152"/>
    <m/>
  </r>
  <r>
    <x v="64"/>
    <x v="11"/>
    <x v="4"/>
    <m/>
    <s v="Kachin"/>
    <x v="15"/>
    <s v="St. Patrick Catholic Church "/>
    <m/>
    <m/>
    <m/>
    <m/>
    <m/>
    <m/>
    <m/>
    <m/>
    <m/>
    <m/>
    <m/>
    <m/>
    <m/>
    <m/>
    <m/>
    <n v="11"/>
    <m/>
    <m/>
    <m/>
    <m/>
    <m/>
    <m/>
    <m/>
    <m/>
    <m/>
    <m/>
    <m/>
    <m/>
    <m/>
    <m/>
    <m/>
    <m/>
    <m/>
    <n v="1"/>
    <m/>
    <m/>
    <m/>
    <s v="MMR001CMP080"/>
    <m/>
  </r>
  <r>
    <x v="64"/>
    <x v="11"/>
    <x v="4"/>
    <m/>
    <s v="Kachin"/>
    <x v="15"/>
    <s v="Aup Kyin Shan "/>
    <m/>
    <m/>
    <m/>
    <m/>
    <m/>
    <m/>
    <m/>
    <m/>
    <m/>
    <m/>
    <m/>
    <m/>
    <m/>
    <m/>
    <m/>
    <n v="54"/>
    <m/>
    <m/>
    <m/>
    <m/>
    <m/>
    <m/>
    <m/>
    <m/>
    <m/>
    <m/>
    <m/>
    <m/>
    <m/>
    <m/>
    <m/>
    <m/>
    <m/>
    <n v="1"/>
    <m/>
    <m/>
    <m/>
    <s v=""/>
    <m/>
  </r>
  <r>
    <x v="64"/>
    <x v="11"/>
    <x v="4"/>
    <s v="ICRC"/>
    <s v="Kachin"/>
    <x v="4"/>
    <s v="Shwe Gu Baptist Church"/>
    <m/>
    <m/>
    <m/>
    <m/>
    <m/>
    <m/>
    <m/>
    <m/>
    <m/>
    <m/>
    <m/>
    <m/>
    <n v="344"/>
    <n v="602"/>
    <n v="1032"/>
    <n v="172"/>
    <m/>
    <m/>
    <m/>
    <m/>
    <m/>
    <m/>
    <m/>
    <m/>
    <m/>
    <m/>
    <m/>
    <m/>
    <m/>
    <m/>
    <m/>
    <m/>
    <m/>
    <n v="1"/>
    <m/>
    <m/>
    <m/>
    <s v="MMR001CMP067"/>
    <m/>
  </r>
  <r>
    <x v="64"/>
    <x v="11"/>
    <x v="4"/>
    <s v="ICRC"/>
    <s v="Kachin"/>
    <x v="4"/>
    <s v="Shwe Gu Catholic Church"/>
    <m/>
    <m/>
    <m/>
    <m/>
    <m/>
    <m/>
    <m/>
    <m/>
    <m/>
    <m/>
    <m/>
    <m/>
    <n v="212"/>
    <n v="371"/>
    <n v="636"/>
    <n v="106"/>
    <m/>
    <m/>
    <m/>
    <m/>
    <m/>
    <m/>
    <m/>
    <m/>
    <m/>
    <m/>
    <m/>
    <m/>
    <m/>
    <m/>
    <m/>
    <m/>
    <m/>
    <n v="1"/>
    <m/>
    <m/>
    <m/>
    <s v="MMR001CMP068"/>
    <m/>
  </r>
  <r>
    <x v="64"/>
    <x v="11"/>
    <x v="9"/>
    <s v="UNFPA"/>
    <s v="Shan_North"/>
    <x v="14"/>
    <s v="Nam Hkam - Nay Win Ni (Palawng)"/>
    <m/>
    <m/>
    <n v="7"/>
    <m/>
    <m/>
    <m/>
    <m/>
    <m/>
    <m/>
    <m/>
    <m/>
    <m/>
    <m/>
    <m/>
    <m/>
    <m/>
    <m/>
    <m/>
    <m/>
    <m/>
    <m/>
    <m/>
    <m/>
    <m/>
    <m/>
    <m/>
    <m/>
    <m/>
    <m/>
    <m/>
    <m/>
    <m/>
    <m/>
    <n v="0"/>
    <m/>
    <m/>
    <m/>
    <s v="MMR015CMP004"/>
    <m/>
  </r>
  <r>
    <x v="65"/>
    <x v="11"/>
    <x v="7"/>
    <s v="RI"/>
    <s v="Shan_North"/>
    <x v="14"/>
    <s v="Namhkan - Pang Long KBC"/>
    <m/>
    <m/>
    <m/>
    <m/>
    <m/>
    <m/>
    <m/>
    <m/>
    <m/>
    <m/>
    <m/>
    <m/>
    <m/>
    <m/>
    <n v="15"/>
    <m/>
    <m/>
    <m/>
    <m/>
    <m/>
    <m/>
    <m/>
    <m/>
    <m/>
    <m/>
    <m/>
    <m/>
    <m/>
    <m/>
    <m/>
    <m/>
    <m/>
    <m/>
    <n v="1"/>
    <m/>
    <m/>
    <m/>
    <s v="MMR015CMP215"/>
    <m/>
  </r>
  <r>
    <x v="65"/>
    <x v="11"/>
    <x v="7"/>
    <s v="RI"/>
    <s v="Shan_North"/>
    <x v="14"/>
    <s v="Nam Hkam - Nay Win Ni (Palawng)"/>
    <m/>
    <m/>
    <m/>
    <m/>
    <m/>
    <m/>
    <m/>
    <m/>
    <m/>
    <m/>
    <m/>
    <m/>
    <m/>
    <m/>
    <n v="8"/>
    <m/>
    <m/>
    <m/>
    <m/>
    <m/>
    <m/>
    <m/>
    <m/>
    <m/>
    <m/>
    <m/>
    <m/>
    <m/>
    <m/>
    <m/>
    <m/>
    <m/>
    <m/>
    <n v="1"/>
    <m/>
    <m/>
    <m/>
    <s v="MMR015CMP004"/>
    <m/>
  </r>
  <r>
    <x v="65"/>
    <x v="11"/>
    <x v="7"/>
    <s v="RI"/>
    <s v="Shan_North"/>
    <x v="14"/>
    <s v="Nam Hkam Catholic Church ( St. Thomas I)"/>
    <m/>
    <m/>
    <m/>
    <m/>
    <m/>
    <m/>
    <m/>
    <m/>
    <m/>
    <m/>
    <m/>
    <m/>
    <m/>
    <m/>
    <n v="1"/>
    <m/>
    <m/>
    <m/>
    <m/>
    <m/>
    <m/>
    <m/>
    <m/>
    <m/>
    <m/>
    <m/>
    <m/>
    <m/>
    <m/>
    <m/>
    <m/>
    <m/>
    <m/>
    <n v="1"/>
    <m/>
    <m/>
    <m/>
    <s v="MMR015CMP003"/>
    <m/>
  </r>
  <r>
    <x v="65"/>
    <x v="11"/>
    <x v="10"/>
    <s v="SCI"/>
    <s v="Kachin"/>
    <x v="2"/>
    <s v="Man Wing Catholic Church"/>
    <m/>
    <m/>
    <m/>
    <n v="11"/>
    <m/>
    <m/>
    <m/>
    <m/>
    <m/>
    <m/>
    <m/>
    <m/>
    <m/>
    <m/>
    <m/>
    <m/>
    <m/>
    <m/>
    <m/>
    <m/>
    <m/>
    <m/>
    <m/>
    <m/>
    <m/>
    <m/>
    <m/>
    <m/>
    <m/>
    <m/>
    <m/>
    <m/>
    <m/>
    <n v="0"/>
    <m/>
    <m/>
    <m/>
    <s v="MMR001CMP132"/>
    <s v="9/1/2018: Updated NFI distribution. Data source SCI"/>
  </r>
  <r>
    <x v="65"/>
    <x v="11"/>
    <x v="10"/>
    <s v="SCI"/>
    <s v="Kachin"/>
    <x v="2"/>
    <s v="Man Wing Catholic Church II"/>
    <m/>
    <m/>
    <m/>
    <n v="3"/>
    <m/>
    <m/>
    <m/>
    <m/>
    <m/>
    <m/>
    <m/>
    <m/>
    <m/>
    <m/>
    <m/>
    <m/>
    <m/>
    <m/>
    <m/>
    <m/>
    <m/>
    <m/>
    <m/>
    <m/>
    <m/>
    <m/>
    <m/>
    <m/>
    <m/>
    <m/>
    <m/>
    <m/>
    <m/>
    <n v="0"/>
    <m/>
    <m/>
    <m/>
    <s v="MMR001CMP228"/>
    <s v="9/1/2018: Updated NFI distribution. Data source SCI"/>
  </r>
  <r>
    <x v="65"/>
    <x v="11"/>
    <x v="10"/>
    <s v="SCI"/>
    <s v="Kachin"/>
    <x v="2"/>
    <s v="Man Wing Baptist Church Cultural Compound"/>
    <m/>
    <m/>
    <m/>
    <n v="20"/>
    <m/>
    <m/>
    <m/>
    <m/>
    <m/>
    <m/>
    <m/>
    <m/>
    <m/>
    <m/>
    <m/>
    <m/>
    <m/>
    <m/>
    <m/>
    <m/>
    <m/>
    <m/>
    <m/>
    <m/>
    <m/>
    <m/>
    <m/>
    <m/>
    <m/>
    <m/>
    <m/>
    <m/>
    <m/>
    <n v="0"/>
    <m/>
    <m/>
    <m/>
    <s v="MMR001CMP230"/>
    <s v="9/1/2018: Updated NFI distribution. Data source SCI"/>
  </r>
  <r>
    <x v="65"/>
    <x v="11"/>
    <x v="10"/>
    <s v="SCI"/>
    <s v="Shan_North"/>
    <x v="14"/>
    <s v="Namhkan - Pang Long KBC"/>
    <m/>
    <m/>
    <m/>
    <n v="14"/>
    <m/>
    <m/>
    <m/>
    <m/>
    <m/>
    <m/>
    <m/>
    <m/>
    <m/>
    <m/>
    <m/>
    <m/>
    <m/>
    <m/>
    <m/>
    <m/>
    <m/>
    <m/>
    <m/>
    <m/>
    <m/>
    <m/>
    <m/>
    <m/>
    <m/>
    <m/>
    <m/>
    <m/>
    <m/>
    <n v="0"/>
    <m/>
    <m/>
    <m/>
    <s v="MMR015CMP215"/>
    <s v="9/1/2018: Updated NFI distribution. Data source SCI"/>
  </r>
  <r>
    <x v="65"/>
    <x v="11"/>
    <x v="10"/>
    <s v="SCI"/>
    <s v="Shan_North"/>
    <x v="14"/>
    <s v="Nam Hkam - Nay Win Ni (Palawng)"/>
    <m/>
    <m/>
    <m/>
    <n v="8"/>
    <m/>
    <m/>
    <m/>
    <m/>
    <m/>
    <m/>
    <m/>
    <m/>
    <m/>
    <m/>
    <m/>
    <m/>
    <m/>
    <m/>
    <m/>
    <m/>
    <m/>
    <m/>
    <m/>
    <m/>
    <m/>
    <m/>
    <m/>
    <m/>
    <m/>
    <m/>
    <m/>
    <m/>
    <m/>
    <n v="0"/>
    <m/>
    <m/>
    <m/>
    <s v="MMR015CMP004"/>
    <s v="9/1/2018: Updated NFI distribution. Data source SCI"/>
  </r>
  <r>
    <x v="66"/>
    <x v="12"/>
    <x v="7"/>
    <s v="RI"/>
    <s v="Shan_North"/>
    <x v="16"/>
    <s v="Thanti Thukha Religious building"/>
    <m/>
    <m/>
    <m/>
    <m/>
    <m/>
    <m/>
    <m/>
    <m/>
    <m/>
    <m/>
    <m/>
    <m/>
    <m/>
    <m/>
    <n v="72"/>
    <m/>
    <m/>
    <m/>
    <n v="10"/>
    <m/>
    <m/>
    <m/>
    <m/>
    <m/>
    <m/>
    <m/>
    <m/>
    <m/>
    <m/>
    <m/>
    <m/>
    <m/>
    <m/>
    <n v="1"/>
    <m/>
    <m/>
    <m/>
    <s v=""/>
    <m/>
  </r>
  <r>
    <x v="66"/>
    <x v="12"/>
    <x v="7"/>
    <s v="CSOs"/>
    <s v="Shan_North"/>
    <x v="16"/>
    <s v="Thanti Thukha Religious building"/>
    <m/>
    <m/>
    <m/>
    <m/>
    <m/>
    <m/>
    <m/>
    <m/>
    <m/>
    <m/>
    <m/>
    <m/>
    <n v="144"/>
    <m/>
    <n v="144"/>
    <n v="144"/>
    <m/>
    <m/>
    <n v="10"/>
    <m/>
    <m/>
    <m/>
    <m/>
    <m/>
    <m/>
    <m/>
    <m/>
    <m/>
    <m/>
    <m/>
    <m/>
    <m/>
    <m/>
    <n v="1"/>
    <m/>
    <m/>
    <m/>
    <s v=""/>
    <m/>
  </r>
  <r>
    <x v="66"/>
    <x v="12"/>
    <x v="7"/>
    <s v="CSOs"/>
    <s v="Shan_North"/>
    <x v="16"/>
    <s v="Aung Min Galar (Monastery)"/>
    <m/>
    <m/>
    <m/>
    <m/>
    <m/>
    <m/>
    <m/>
    <m/>
    <m/>
    <m/>
    <m/>
    <m/>
    <n v="102"/>
    <m/>
    <n v="102"/>
    <n v="102"/>
    <m/>
    <m/>
    <n v="10"/>
    <m/>
    <m/>
    <m/>
    <m/>
    <m/>
    <m/>
    <m/>
    <m/>
    <m/>
    <m/>
    <m/>
    <m/>
    <m/>
    <m/>
    <n v="1"/>
    <m/>
    <m/>
    <m/>
    <s v=""/>
    <m/>
  </r>
  <r>
    <x v="66"/>
    <x v="12"/>
    <x v="7"/>
    <s v="CSOs"/>
    <s v="Shan_North"/>
    <x v="16"/>
    <s v="Warso ( Monastery)"/>
    <m/>
    <m/>
    <m/>
    <m/>
    <m/>
    <m/>
    <m/>
    <m/>
    <m/>
    <m/>
    <m/>
    <m/>
    <n v="152"/>
    <m/>
    <n v="152"/>
    <n v="152"/>
    <m/>
    <m/>
    <m/>
    <m/>
    <m/>
    <m/>
    <m/>
    <m/>
    <m/>
    <m/>
    <m/>
    <m/>
    <m/>
    <m/>
    <m/>
    <m/>
    <m/>
    <n v="1"/>
    <m/>
    <m/>
    <m/>
    <s v=""/>
    <m/>
  </r>
  <r>
    <x v="66"/>
    <x v="12"/>
    <x v="7"/>
    <s v="CSOs"/>
    <s v="Shan_North"/>
    <x v="16"/>
    <s v="Aung Myay Thar Yar (Monastery)"/>
    <m/>
    <m/>
    <m/>
    <m/>
    <m/>
    <m/>
    <m/>
    <m/>
    <m/>
    <m/>
    <m/>
    <m/>
    <n v="62"/>
    <m/>
    <n v="62"/>
    <n v="62"/>
    <m/>
    <m/>
    <m/>
    <m/>
    <m/>
    <m/>
    <m/>
    <m/>
    <m/>
    <m/>
    <m/>
    <m/>
    <m/>
    <m/>
    <m/>
    <m/>
    <m/>
    <n v="1"/>
    <m/>
    <m/>
    <m/>
    <s v=""/>
    <m/>
  </r>
  <r>
    <x v="67"/>
    <x v="12"/>
    <x v="7"/>
    <s v="RI"/>
    <s v="Shan_North"/>
    <x v="16"/>
    <s v="Aung Min Galar Monastery"/>
    <m/>
    <m/>
    <m/>
    <m/>
    <m/>
    <m/>
    <m/>
    <m/>
    <m/>
    <m/>
    <m/>
    <m/>
    <m/>
    <m/>
    <n v="51"/>
    <m/>
    <m/>
    <m/>
    <n v="10"/>
    <m/>
    <m/>
    <m/>
    <m/>
    <m/>
    <m/>
    <m/>
    <m/>
    <m/>
    <m/>
    <m/>
    <m/>
    <m/>
    <m/>
    <n v="1"/>
    <m/>
    <m/>
    <m/>
    <s v=""/>
    <m/>
  </r>
  <r>
    <x v="68"/>
    <x v="12"/>
    <x v="7"/>
    <s v="RI"/>
    <s v="Shan_North"/>
    <x v="16"/>
    <s v="Warso Monastery"/>
    <m/>
    <m/>
    <m/>
    <m/>
    <m/>
    <m/>
    <m/>
    <m/>
    <m/>
    <m/>
    <m/>
    <m/>
    <m/>
    <m/>
    <n v="76"/>
    <m/>
    <m/>
    <m/>
    <m/>
    <m/>
    <m/>
    <m/>
    <m/>
    <m/>
    <m/>
    <m/>
    <m/>
    <m/>
    <m/>
    <m/>
    <m/>
    <m/>
    <m/>
    <n v="1"/>
    <m/>
    <m/>
    <m/>
    <s v=""/>
    <m/>
  </r>
  <r>
    <x v="69"/>
    <x v="12"/>
    <x v="7"/>
    <s v="RI"/>
    <s v="Shan_North"/>
    <x v="16"/>
    <s v="Aung Myay Thar Yar Monastery"/>
    <m/>
    <m/>
    <m/>
    <m/>
    <m/>
    <m/>
    <m/>
    <m/>
    <m/>
    <m/>
    <m/>
    <m/>
    <m/>
    <m/>
    <n v="31"/>
    <m/>
    <m/>
    <m/>
    <m/>
    <m/>
    <m/>
    <m/>
    <m/>
    <m/>
    <m/>
    <m/>
    <m/>
    <m/>
    <m/>
    <m/>
    <m/>
    <m/>
    <m/>
    <n v="1"/>
    <m/>
    <m/>
    <m/>
    <s v=""/>
    <m/>
  </r>
  <r>
    <x v="70"/>
    <x v="12"/>
    <x v="7"/>
    <s v="CSOs"/>
    <s v="Shan_North"/>
    <x v="11"/>
    <s v="Jawsaw"/>
    <m/>
    <n v="18"/>
    <m/>
    <m/>
    <m/>
    <m/>
    <m/>
    <m/>
    <m/>
    <m/>
    <m/>
    <m/>
    <m/>
    <m/>
    <m/>
    <m/>
    <m/>
    <m/>
    <m/>
    <m/>
    <m/>
    <m/>
    <m/>
    <m/>
    <m/>
    <m/>
    <m/>
    <m/>
    <m/>
    <m/>
    <m/>
    <m/>
    <m/>
    <n v="0"/>
    <m/>
    <m/>
    <m/>
    <s v=""/>
    <m/>
  </r>
  <r>
    <x v="71"/>
    <x v="12"/>
    <x v="5"/>
    <s v="UNHCR"/>
    <s v="Kachin"/>
    <x v="7"/>
    <s v="Chipwi KBC camp"/>
    <m/>
    <m/>
    <m/>
    <m/>
    <m/>
    <m/>
    <m/>
    <m/>
    <m/>
    <m/>
    <m/>
    <m/>
    <n v="284"/>
    <n v="236"/>
    <m/>
    <m/>
    <m/>
    <m/>
    <m/>
    <m/>
    <m/>
    <m/>
    <m/>
    <m/>
    <m/>
    <m/>
    <m/>
    <m/>
    <m/>
    <m/>
    <m/>
    <m/>
    <m/>
    <n v="1"/>
    <m/>
    <m/>
    <m/>
    <s v="MMR001CMP042"/>
    <m/>
  </r>
  <r>
    <x v="71"/>
    <x v="12"/>
    <x v="5"/>
    <s v="UNHCR"/>
    <s v="Kachin"/>
    <x v="7"/>
    <s v="Chipwi LBC camp"/>
    <m/>
    <m/>
    <m/>
    <m/>
    <m/>
    <m/>
    <m/>
    <m/>
    <m/>
    <m/>
    <m/>
    <m/>
    <n v="295"/>
    <n v="345"/>
    <m/>
    <m/>
    <m/>
    <m/>
    <m/>
    <m/>
    <m/>
    <m/>
    <m/>
    <m/>
    <m/>
    <m/>
    <m/>
    <m/>
    <m/>
    <m/>
    <m/>
    <m/>
    <m/>
    <n v="1"/>
    <m/>
    <m/>
    <m/>
    <s v=""/>
    <m/>
  </r>
  <r>
    <x v="72"/>
    <x v="13"/>
    <x v="7"/>
    <s v="CSOs"/>
    <s v="Shan_North"/>
    <x v="10"/>
    <s v="Kaung AI (Monastery)"/>
    <m/>
    <n v="52"/>
    <m/>
    <m/>
    <m/>
    <m/>
    <m/>
    <m/>
    <m/>
    <m/>
    <m/>
    <m/>
    <m/>
    <m/>
    <m/>
    <m/>
    <m/>
    <m/>
    <m/>
    <m/>
    <m/>
    <m/>
    <m/>
    <m/>
    <m/>
    <m/>
    <m/>
    <m/>
    <m/>
    <m/>
    <m/>
    <m/>
    <m/>
    <n v="0"/>
    <m/>
    <m/>
    <m/>
    <s v=""/>
    <m/>
  </r>
  <r>
    <x v="72"/>
    <x v="13"/>
    <x v="7"/>
    <s v="CSOs"/>
    <s v="Shan_North"/>
    <x v="10"/>
    <s v="Hkauk Kwe (Monastery)"/>
    <m/>
    <n v="13"/>
    <m/>
    <m/>
    <m/>
    <m/>
    <m/>
    <m/>
    <m/>
    <m/>
    <m/>
    <m/>
    <m/>
    <m/>
    <m/>
    <m/>
    <m/>
    <m/>
    <m/>
    <m/>
    <m/>
    <m/>
    <m/>
    <m/>
    <m/>
    <m/>
    <m/>
    <m/>
    <m/>
    <m/>
    <m/>
    <m/>
    <m/>
    <n v="0"/>
    <m/>
    <m/>
    <m/>
    <s v=""/>
    <m/>
  </r>
  <r>
    <x v="65"/>
    <x v="11"/>
    <x v="11"/>
    <s v="KMSS_Myitkyina"/>
    <s v="Kachin"/>
    <x v="7"/>
    <s v="Pan Wa"/>
    <m/>
    <m/>
    <m/>
    <m/>
    <m/>
    <m/>
    <m/>
    <n v="270"/>
    <m/>
    <m/>
    <m/>
    <m/>
    <n v="95"/>
    <m/>
    <m/>
    <n v="123"/>
    <m/>
    <m/>
    <m/>
    <m/>
    <e v="#REF!"/>
    <e v="#REF!"/>
    <e v="#REF!"/>
    <e v="#REF!"/>
    <e v="#REF!"/>
    <e v="#REF!"/>
    <e v="#REF!"/>
    <e v="#REF!"/>
    <e v="#REF!"/>
    <e v="#REF!"/>
    <m/>
    <m/>
    <m/>
    <n v="1"/>
    <m/>
    <m/>
    <m/>
    <s v="MMR001CMP210"/>
    <m/>
  </r>
  <r>
    <x v="65"/>
    <x v="11"/>
    <x v="11"/>
    <s v="KMSS_Myitkyina"/>
    <s v="Kachin"/>
    <x v="7"/>
    <s v="Saw Zam"/>
    <m/>
    <m/>
    <m/>
    <m/>
    <m/>
    <m/>
    <m/>
    <n v="171"/>
    <m/>
    <m/>
    <m/>
    <m/>
    <n v="86"/>
    <m/>
    <m/>
    <n v="60"/>
    <m/>
    <m/>
    <m/>
    <m/>
    <e v="#REF!"/>
    <e v="#REF!"/>
    <e v="#REF!"/>
    <e v="#REF!"/>
    <e v="#REF!"/>
    <e v="#REF!"/>
    <e v="#REF!"/>
    <e v="#REF!"/>
    <e v="#REF!"/>
    <e v="#REF!"/>
    <m/>
    <m/>
    <m/>
    <n v="1"/>
    <m/>
    <m/>
    <m/>
    <s v="MMR001CMP225"/>
    <m/>
  </r>
  <r>
    <x v="73"/>
    <x v="14"/>
    <x v="11"/>
    <s v="KMSS_Myitkyina"/>
    <s v="Kachin"/>
    <x v="1"/>
    <s v="Pa Dauk Myaing(Pa La Na)"/>
    <m/>
    <m/>
    <m/>
    <n v="9"/>
    <n v="9"/>
    <n v="18"/>
    <n v="9"/>
    <n v="28"/>
    <n v="9"/>
    <m/>
    <n v="9"/>
    <n v="26"/>
    <m/>
    <m/>
    <m/>
    <m/>
    <n v="9"/>
    <m/>
    <m/>
    <m/>
    <e v="#REF!"/>
    <e v="#REF!"/>
    <e v="#REF!"/>
    <e v="#REF!"/>
    <e v="#REF!"/>
    <e v="#REF!"/>
    <e v="#REF!"/>
    <e v="#REF!"/>
    <e v="#REF!"/>
    <e v="#REF!"/>
    <m/>
    <m/>
    <m/>
    <n v="0"/>
    <m/>
    <m/>
    <m/>
    <s v="MMR001CMP162"/>
    <m/>
  </r>
  <r>
    <x v="74"/>
    <x v="14"/>
    <x v="11"/>
    <s v="KMSS_Myitkyina"/>
    <s v="Kachin"/>
    <x v="0"/>
    <s v="Maina Catholic Church (St. Joseph)"/>
    <m/>
    <m/>
    <m/>
    <m/>
    <m/>
    <m/>
    <m/>
    <m/>
    <m/>
    <m/>
    <m/>
    <m/>
    <m/>
    <m/>
    <n v="1473"/>
    <m/>
    <m/>
    <m/>
    <m/>
    <m/>
    <e v="#REF!"/>
    <e v="#REF!"/>
    <e v="#REF!"/>
    <e v="#REF!"/>
    <e v="#REF!"/>
    <e v="#REF!"/>
    <e v="#REF!"/>
    <e v="#REF!"/>
    <e v="#REF!"/>
    <e v="#REF!"/>
    <m/>
    <m/>
    <m/>
    <n v="1"/>
    <m/>
    <m/>
    <m/>
    <s v="MMR001CMP029"/>
    <m/>
  </r>
  <r>
    <x v="75"/>
    <x v="12"/>
    <x v="12"/>
    <m/>
    <s v="Shan_North"/>
    <x v="11"/>
    <s v="Nam Tu Baptist"/>
    <n v="1"/>
    <m/>
    <m/>
    <m/>
    <m/>
    <m/>
    <m/>
    <m/>
    <m/>
    <m/>
    <m/>
    <m/>
    <m/>
    <m/>
    <m/>
    <m/>
    <m/>
    <m/>
    <m/>
    <m/>
    <e v="#REF!"/>
    <e v="#REF!"/>
    <e v="#REF!"/>
    <e v="#REF!"/>
    <e v="#REF!"/>
    <e v="#REF!"/>
    <e v="#REF!"/>
    <e v="#REF!"/>
    <e v="#REF!"/>
    <e v="#REF!"/>
    <m/>
    <m/>
    <m/>
    <n v="0"/>
    <m/>
    <m/>
    <m/>
    <s v="MMR015CMP014"/>
    <m/>
  </r>
  <r>
    <x v="75"/>
    <x v="12"/>
    <x v="12"/>
    <m/>
    <s v="Shan_North"/>
    <x v="11"/>
    <s v="Lisu Church Namtu"/>
    <n v="1"/>
    <m/>
    <m/>
    <m/>
    <m/>
    <m/>
    <m/>
    <m/>
    <m/>
    <m/>
    <m/>
    <m/>
    <m/>
    <m/>
    <m/>
    <m/>
    <m/>
    <m/>
    <m/>
    <m/>
    <e v="#REF!"/>
    <e v="#REF!"/>
    <e v="#REF!"/>
    <e v="#REF!"/>
    <e v="#REF!"/>
    <e v="#REF!"/>
    <e v="#REF!"/>
    <e v="#REF!"/>
    <e v="#REF!"/>
    <e v="#REF!"/>
    <m/>
    <m/>
    <m/>
    <n v="0"/>
    <m/>
    <m/>
    <m/>
    <s v="MMR015CMP232"/>
    <s v=" "/>
  </r>
  <r>
    <x v="75"/>
    <x v="12"/>
    <x v="12"/>
    <m/>
    <s v="Kachin"/>
    <x v="2"/>
    <s v="Man Wing Catholic Church"/>
    <m/>
    <n v="3"/>
    <m/>
    <m/>
    <m/>
    <m/>
    <m/>
    <m/>
    <n v="3"/>
    <m/>
    <m/>
    <m/>
    <n v="3"/>
    <n v="3"/>
    <n v="3"/>
    <m/>
    <m/>
    <m/>
    <m/>
    <m/>
    <e v="#REF!"/>
    <e v="#REF!"/>
    <e v="#REF!"/>
    <e v="#REF!"/>
    <e v="#REF!"/>
    <e v="#REF!"/>
    <e v="#REF!"/>
    <e v="#REF!"/>
    <e v="#REF!"/>
    <e v="#REF!"/>
    <m/>
    <m/>
    <m/>
    <n v="1"/>
    <m/>
    <m/>
    <m/>
    <s v="MMR001CMP132"/>
    <m/>
  </r>
  <r>
    <x v="76"/>
    <x v="12"/>
    <x v="12"/>
    <m/>
    <s v="Shan_North"/>
    <x v="11"/>
    <s v="Kyu Sot"/>
    <n v="1"/>
    <m/>
    <m/>
    <m/>
    <m/>
    <m/>
    <m/>
    <m/>
    <m/>
    <m/>
    <m/>
    <m/>
    <m/>
    <m/>
    <m/>
    <m/>
    <m/>
    <m/>
    <m/>
    <m/>
    <e v="#REF!"/>
    <e v="#REF!"/>
    <e v="#REF!"/>
    <e v="#REF!"/>
    <e v="#REF!"/>
    <e v="#REF!"/>
    <e v="#REF!"/>
    <e v="#REF!"/>
    <e v="#REF!"/>
    <e v="#REF!"/>
    <m/>
    <m/>
    <m/>
    <n v="0"/>
    <m/>
    <m/>
    <m/>
    <s v="MMR015CMP248"/>
    <m/>
  </r>
  <r>
    <x v="77"/>
    <x v="12"/>
    <x v="12"/>
    <m/>
    <s v="Shan_North"/>
    <x v="11"/>
    <s v="Nam Tu Baptist"/>
    <n v="1"/>
    <m/>
    <m/>
    <m/>
    <m/>
    <m/>
    <m/>
    <m/>
    <m/>
    <m/>
    <m/>
    <m/>
    <m/>
    <m/>
    <m/>
    <m/>
    <m/>
    <m/>
    <m/>
    <m/>
    <e v="#REF!"/>
    <e v="#REF!"/>
    <e v="#REF!"/>
    <e v="#REF!"/>
    <e v="#REF!"/>
    <e v="#REF!"/>
    <e v="#REF!"/>
    <e v="#REF!"/>
    <e v="#REF!"/>
    <e v="#REF!"/>
    <m/>
    <m/>
    <m/>
    <n v="0"/>
    <m/>
    <m/>
    <m/>
    <s v="MMR015CMP014"/>
    <m/>
  </r>
  <r>
    <x v="78"/>
    <x v="12"/>
    <x v="12"/>
    <m/>
    <s v="Shan_North"/>
    <x v="11"/>
    <s v="Lisu Church Namtu"/>
    <n v="18"/>
    <m/>
    <m/>
    <m/>
    <m/>
    <m/>
    <m/>
    <m/>
    <m/>
    <m/>
    <m/>
    <m/>
    <m/>
    <m/>
    <m/>
    <m/>
    <m/>
    <m/>
    <m/>
    <m/>
    <e v="#REF!"/>
    <e v="#REF!"/>
    <e v="#REF!"/>
    <e v="#REF!"/>
    <e v="#REF!"/>
    <e v="#REF!"/>
    <e v="#REF!"/>
    <e v="#REF!"/>
    <e v="#REF!"/>
    <e v="#REF!"/>
    <m/>
    <m/>
    <m/>
    <n v="0"/>
    <m/>
    <m/>
    <m/>
    <s v="MMR015CMP232"/>
    <s v="Firewood support included"/>
  </r>
  <r>
    <x v="78"/>
    <x v="12"/>
    <x v="12"/>
    <m/>
    <s v="Shan_North"/>
    <x v="14"/>
    <s v="Nam Hkam Catholic Church ( St. Thomas I)"/>
    <n v="2"/>
    <m/>
    <m/>
    <m/>
    <m/>
    <m/>
    <m/>
    <m/>
    <n v="2"/>
    <m/>
    <n v="2"/>
    <m/>
    <m/>
    <m/>
    <m/>
    <n v="2"/>
    <m/>
    <m/>
    <m/>
    <m/>
    <e v="#REF!"/>
    <e v="#REF!"/>
    <e v="#REF!"/>
    <e v="#REF!"/>
    <e v="#REF!"/>
    <e v="#REF!"/>
    <e v="#REF!"/>
    <e v="#REF!"/>
    <e v="#REF!"/>
    <e v="#REF!"/>
    <m/>
    <m/>
    <m/>
    <n v="1"/>
    <m/>
    <m/>
    <m/>
    <s v="MMR015CMP003"/>
    <s v="Firewood support included"/>
  </r>
  <r>
    <x v="78"/>
    <x v="12"/>
    <x v="12"/>
    <m/>
    <s v="Shan_North"/>
    <x v="14"/>
    <s v="Nam Hkam - Nay Win Ni (Palawng)"/>
    <n v="8"/>
    <m/>
    <m/>
    <m/>
    <m/>
    <m/>
    <m/>
    <m/>
    <n v="8"/>
    <m/>
    <n v="8"/>
    <m/>
    <m/>
    <m/>
    <m/>
    <n v="8"/>
    <m/>
    <m/>
    <m/>
    <m/>
    <e v="#REF!"/>
    <e v="#REF!"/>
    <e v="#REF!"/>
    <e v="#REF!"/>
    <e v="#REF!"/>
    <e v="#REF!"/>
    <e v="#REF!"/>
    <e v="#REF!"/>
    <e v="#REF!"/>
    <e v="#REF!"/>
    <m/>
    <m/>
    <m/>
    <n v="1"/>
    <m/>
    <m/>
    <m/>
    <s v="MMR015CMP004"/>
    <s v="Firewood support included"/>
  </r>
  <r>
    <x v="78"/>
    <x v="12"/>
    <x v="12"/>
    <m/>
    <s v="Shan_North"/>
    <x v="14"/>
    <s v="Namhkan - Pang Long KBC"/>
    <n v="15"/>
    <m/>
    <m/>
    <m/>
    <m/>
    <m/>
    <m/>
    <m/>
    <n v="15"/>
    <m/>
    <n v="15"/>
    <m/>
    <m/>
    <m/>
    <m/>
    <n v="15"/>
    <m/>
    <m/>
    <m/>
    <m/>
    <e v="#REF!"/>
    <e v="#REF!"/>
    <e v="#REF!"/>
    <e v="#REF!"/>
    <e v="#REF!"/>
    <e v="#REF!"/>
    <e v="#REF!"/>
    <e v="#REF!"/>
    <e v="#REF!"/>
    <e v="#REF!"/>
    <m/>
    <m/>
    <m/>
    <n v="1"/>
    <m/>
    <m/>
    <m/>
    <s v="MMR015CMP215"/>
    <s v="Firewood support included"/>
  </r>
  <r>
    <x v="79"/>
    <x v="12"/>
    <x v="12"/>
    <m/>
    <s v="Kachin"/>
    <x v="2"/>
    <s v="Man Wing Catholic Church II"/>
    <m/>
    <n v="8"/>
    <m/>
    <m/>
    <m/>
    <m/>
    <m/>
    <m/>
    <n v="8"/>
    <m/>
    <m/>
    <m/>
    <n v="8"/>
    <n v="8"/>
    <n v="8"/>
    <n v="8"/>
    <m/>
    <m/>
    <m/>
    <m/>
    <e v="#REF!"/>
    <e v="#REF!"/>
    <e v="#REF!"/>
    <e v="#REF!"/>
    <e v="#REF!"/>
    <e v="#REF!"/>
    <e v="#REF!"/>
    <e v="#REF!"/>
    <e v="#REF!"/>
    <e v="#REF!"/>
    <m/>
    <m/>
    <m/>
    <n v="1"/>
    <m/>
    <m/>
    <m/>
    <s v="MMR001CMP228"/>
    <s v="8 Bedsheet"/>
  </r>
  <r>
    <x v="79"/>
    <x v="12"/>
    <x v="12"/>
    <m/>
    <s v="Kachin"/>
    <x v="2"/>
    <s v="Man Wing Baptist Church"/>
    <m/>
    <n v="1"/>
    <m/>
    <m/>
    <m/>
    <m/>
    <m/>
    <m/>
    <n v="1"/>
    <m/>
    <m/>
    <m/>
    <n v="1"/>
    <n v="1"/>
    <n v="1"/>
    <n v="1"/>
    <m/>
    <m/>
    <m/>
    <m/>
    <e v="#REF!"/>
    <e v="#REF!"/>
    <e v="#REF!"/>
    <e v="#REF!"/>
    <e v="#REF!"/>
    <e v="#REF!"/>
    <e v="#REF!"/>
    <e v="#REF!"/>
    <e v="#REF!"/>
    <e v="#REF!"/>
    <m/>
    <m/>
    <m/>
    <n v="1"/>
    <m/>
    <m/>
    <m/>
    <s v="MMR001CMP133"/>
    <s v="1 Bedsheet"/>
  </r>
  <r>
    <x v="79"/>
    <x v="12"/>
    <x v="12"/>
    <m/>
    <s v="Kachin"/>
    <x v="2"/>
    <s v="Man Wing Baptist Church Cultural Compound"/>
    <m/>
    <n v="25"/>
    <m/>
    <m/>
    <m/>
    <m/>
    <m/>
    <m/>
    <n v="25"/>
    <m/>
    <m/>
    <m/>
    <n v="25"/>
    <n v="25"/>
    <n v="25"/>
    <n v="25"/>
    <m/>
    <m/>
    <m/>
    <m/>
    <e v="#REF!"/>
    <e v="#REF!"/>
    <e v="#REF!"/>
    <e v="#REF!"/>
    <e v="#REF!"/>
    <e v="#REF!"/>
    <e v="#REF!"/>
    <e v="#REF!"/>
    <e v="#REF!"/>
    <e v="#REF!"/>
    <m/>
    <m/>
    <m/>
    <n v="1"/>
    <m/>
    <m/>
    <m/>
    <s v="MMR001CMP230"/>
    <s v="25 BedSheet"/>
  </r>
  <r>
    <x v="80"/>
    <x v="12"/>
    <x v="12"/>
    <m/>
    <s v="Shan_North"/>
    <x v="11"/>
    <s v="Lisu Church Namtu"/>
    <n v="1"/>
    <m/>
    <m/>
    <m/>
    <n v="7"/>
    <m/>
    <m/>
    <m/>
    <n v="6"/>
    <m/>
    <m/>
    <m/>
    <n v="19"/>
    <n v="19"/>
    <m/>
    <n v="19"/>
    <m/>
    <m/>
    <m/>
    <m/>
    <e v="#REF!"/>
    <e v="#REF!"/>
    <e v="#REF!"/>
    <e v="#REF!"/>
    <e v="#REF!"/>
    <e v="#REF!"/>
    <e v="#REF!"/>
    <e v="#REF!"/>
    <e v="#REF!"/>
    <e v="#REF!"/>
    <m/>
    <m/>
    <m/>
    <n v="1"/>
    <m/>
    <m/>
    <m/>
    <s v="MMR015CMP232"/>
    <m/>
  </r>
  <r>
    <x v="81"/>
    <x v="13"/>
    <x v="12"/>
    <m/>
    <s v="Shan_North"/>
    <x v="11"/>
    <s v="Nam Tu Baptist"/>
    <n v="18"/>
    <m/>
    <m/>
    <m/>
    <m/>
    <m/>
    <m/>
    <m/>
    <m/>
    <m/>
    <m/>
    <m/>
    <m/>
    <m/>
    <m/>
    <m/>
    <m/>
    <m/>
    <m/>
    <m/>
    <e v="#REF!"/>
    <e v="#REF!"/>
    <e v="#REF!"/>
    <e v="#REF!"/>
    <e v="#REF!"/>
    <e v="#REF!"/>
    <e v="#REF!"/>
    <e v="#REF!"/>
    <e v="#REF!"/>
    <e v="#REF!"/>
    <m/>
    <m/>
    <m/>
    <n v="0"/>
    <m/>
    <m/>
    <m/>
    <s v="MMR015CMP014"/>
    <s v="Transportation charges for Bamboo Transport"/>
  </r>
  <r>
    <x v="82"/>
    <x v="13"/>
    <x v="12"/>
    <m/>
    <s v="Kachin"/>
    <x v="2"/>
    <s v="Man Wing Catholic Church"/>
    <m/>
    <n v="8"/>
    <m/>
    <m/>
    <m/>
    <m/>
    <m/>
    <m/>
    <n v="8"/>
    <m/>
    <m/>
    <m/>
    <n v="8"/>
    <n v="8"/>
    <n v="8"/>
    <m/>
    <m/>
    <m/>
    <m/>
    <m/>
    <e v="#REF!"/>
    <e v="#REF!"/>
    <e v="#REF!"/>
    <e v="#REF!"/>
    <e v="#REF!"/>
    <e v="#REF!"/>
    <e v="#REF!"/>
    <e v="#REF!"/>
    <e v="#REF!"/>
    <e v="#REF!"/>
    <m/>
    <m/>
    <m/>
    <n v="1"/>
    <m/>
    <m/>
    <m/>
    <s v="MMR001CMP132"/>
    <m/>
  </r>
  <r>
    <x v="82"/>
    <x v="13"/>
    <x v="12"/>
    <m/>
    <s v="Kachin"/>
    <x v="2"/>
    <s v="Man Wing Catholic Church II"/>
    <n v="1"/>
    <m/>
    <m/>
    <m/>
    <m/>
    <m/>
    <m/>
    <m/>
    <m/>
    <m/>
    <m/>
    <m/>
    <m/>
    <m/>
    <m/>
    <m/>
    <m/>
    <m/>
    <m/>
    <m/>
    <e v="#REF!"/>
    <e v="#REF!"/>
    <e v="#REF!"/>
    <e v="#REF!"/>
    <e v="#REF!"/>
    <e v="#REF!"/>
    <e v="#REF!"/>
    <e v="#REF!"/>
    <e v="#REF!"/>
    <e v="#REF!"/>
    <m/>
    <m/>
    <m/>
    <n v="0"/>
    <m/>
    <m/>
    <m/>
    <s v="MMR001CMP228"/>
    <m/>
  </r>
  <r>
    <x v="82"/>
    <x v="13"/>
    <x v="12"/>
    <m/>
    <s v="Kachin"/>
    <x v="2"/>
    <s v="Man Wing Baptist Church Cultural Compound"/>
    <n v="1"/>
    <m/>
    <m/>
    <m/>
    <m/>
    <m/>
    <m/>
    <m/>
    <m/>
    <m/>
    <m/>
    <m/>
    <m/>
    <m/>
    <m/>
    <m/>
    <m/>
    <m/>
    <m/>
    <m/>
    <e v="#REF!"/>
    <e v="#REF!"/>
    <e v="#REF!"/>
    <e v="#REF!"/>
    <e v="#REF!"/>
    <e v="#REF!"/>
    <e v="#REF!"/>
    <e v="#REF!"/>
    <e v="#REF!"/>
    <e v="#REF!"/>
    <m/>
    <m/>
    <m/>
    <n v="0"/>
    <m/>
    <m/>
    <m/>
    <s v="MMR001CMP230"/>
    <m/>
  </r>
  <r>
    <x v="83"/>
    <x v="13"/>
    <x v="12"/>
    <m/>
    <s v="Shan_North"/>
    <x v="11"/>
    <s v="Kyu Sot"/>
    <n v="1"/>
    <m/>
    <m/>
    <m/>
    <m/>
    <m/>
    <m/>
    <m/>
    <m/>
    <m/>
    <m/>
    <m/>
    <m/>
    <m/>
    <m/>
    <m/>
    <m/>
    <m/>
    <m/>
    <m/>
    <e v="#REF!"/>
    <e v="#REF!"/>
    <e v="#REF!"/>
    <e v="#REF!"/>
    <e v="#REF!"/>
    <e v="#REF!"/>
    <e v="#REF!"/>
    <e v="#REF!"/>
    <e v="#REF!"/>
    <e v="#REF!"/>
    <m/>
    <m/>
    <m/>
    <n v="0"/>
    <m/>
    <m/>
    <m/>
    <s v="MMR015CMP248"/>
    <m/>
  </r>
  <r>
    <x v="83"/>
    <x v="13"/>
    <x v="12"/>
    <m/>
    <s v="Shan_North"/>
    <x v="11"/>
    <s v="Lisu Church Namtu"/>
    <n v="1"/>
    <m/>
    <m/>
    <m/>
    <m/>
    <m/>
    <m/>
    <m/>
    <m/>
    <m/>
    <m/>
    <m/>
    <m/>
    <m/>
    <m/>
    <m/>
    <m/>
    <m/>
    <m/>
    <m/>
    <e v="#REF!"/>
    <e v="#REF!"/>
    <e v="#REF!"/>
    <e v="#REF!"/>
    <e v="#REF!"/>
    <e v="#REF!"/>
    <e v="#REF!"/>
    <e v="#REF!"/>
    <e v="#REF!"/>
    <e v="#REF!"/>
    <m/>
    <m/>
    <m/>
    <n v="0"/>
    <m/>
    <m/>
    <m/>
    <s v="MMR015CMP232"/>
    <m/>
  </r>
  <r>
    <x v="84"/>
    <x v="13"/>
    <x v="12"/>
    <m/>
    <s v="Shan_North"/>
    <x v="14"/>
    <s v="Mong Wee Shan"/>
    <m/>
    <n v="2"/>
    <m/>
    <m/>
    <m/>
    <n v="2"/>
    <m/>
    <n v="2"/>
    <n v="2"/>
    <m/>
    <m/>
    <m/>
    <n v="2"/>
    <n v="2"/>
    <n v="2"/>
    <m/>
    <m/>
    <m/>
    <m/>
    <m/>
    <e v="#REF!"/>
    <e v="#REF!"/>
    <e v="#REF!"/>
    <e v="#REF!"/>
    <e v="#REF!"/>
    <e v="#REF!"/>
    <e v="#REF!"/>
    <e v="#REF!"/>
    <e v="#REF!"/>
    <e v="#REF!"/>
    <m/>
    <m/>
    <m/>
    <n v="1"/>
    <m/>
    <m/>
    <m/>
    <s v="MMR015CMP224"/>
    <m/>
  </r>
  <r>
    <x v="85"/>
    <x v="13"/>
    <x v="12"/>
    <m/>
    <s v="Shan_North"/>
    <x v="14"/>
    <s v="Mong Wee Shan"/>
    <n v="1"/>
    <m/>
    <m/>
    <m/>
    <m/>
    <m/>
    <m/>
    <m/>
    <m/>
    <m/>
    <m/>
    <m/>
    <m/>
    <m/>
    <m/>
    <m/>
    <m/>
    <m/>
    <m/>
    <m/>
    <e v="#REF!"/>
    <e v="#REF!"/>
    <e v="#REF!"/>
    <e v="#REF!"/>
    <e v="#REF!"/>
    <e v="#REF!"/>
    <e v="#REF!"/>
    <e v="#REF!"/>
    <e v="#REF!"/>
    <e v="#REF!"/>
    <m/>
    <m/>
    <m/>
    <n v="0"/>
    <m/>
    <m/>
    <m/>
    <s v="MMR015CMP224"/>
    <m/>
  </r>
  <r>
    <x v="86"/>
    <x v="14"/>
    <x v="12"/>
    <m/>
    <s v="Kachin"/>
    <x v="2"/>
    <s v="Man Wing Catholic Church"/>
    <n v="2"/>
    <m/>
    <m/>
    <m/>
    <m/>
    <m/>
    <m/>
    <m/>
    <m/>
    <m/>
    <m/>
    <m/>
    <m/>
    <m/>
    <m/>
    <m/>
    <m/>
    <m/>
    <m/>
    <m/>
    <e v="#REF!"/>
    <e v="#REF!"/>
    <e v="#REF!"/>
    <e v="#REF!"/>
    <e v="#REF!"/>
    <e v="#REF!"/>
    <e v="#REF!"/>
    <e v="#REF!"/>
    <e v="#REF!"/>
    <e v="#REF!"/>
    <m/>
    <m/>
    <m/>
    <n v="0"/>
    <m/>
    <m/>
    <m/>
    <s v="MMR001CMP132"/>
    <m/>
  </r>
  <r>
    <x v="87"/>
    <x v="14"/>
    <x v="12"/>
    <m/>
    <s v="Kachin"/>
    <x v="2"/>
    <s v="Man Wing Catholic Church"/>
    <m/>
    <n v="16"/>
    <m/>
    <m/>
    <m/>
    <m/>
    <m/>
    <m/>
    <n v="16"/>
    <m/>
    <m/>
    <m/>
    <n v="16"/>
    <n v="16"/>
    <n v="16"/>
    <n v="16"/>
    <m/>
    <m/>
    <m/>
    <m/>
    <e v="#REF!"/>
    <e v="#REF!"/>
    <e v="#REF!"/>
    <e v="#REF!"/>
    <e v="#REF!"/>
    <e v="#REF!"/>
    <e v="#REF!"/>
    <e v="#REF!"/>
    <e v="#REF!"/>
    <e v="#REF!"/>
    <m/>
    <m/>
    <m/>
    <n v="1"/>
    <m/>
    <m/>
    <m/>
    <s v="MMR001CMP132"/>
    <m/>
  </r>
  <r>
    <x v="88"/>
    <x v="14"/>
    <x v="12"/>
    <m/>
    <s v="Shan_North"/>
    <x v="11"/>
    <s v="Pan Ta Pyae"/>
    <m/>
    <m/>
    <m/>
    <m/>
    <m/>
    <m/>
    <m/>
    <m/>
    <m/>
    <m/>
    <m/>
    <m/>
    <m/>
    <m/>
    <m/>
    <m/>
    <m/>
    <m/>
    <n v="14"/>
    <m/>
    <e v="#REF!"/>
    <e v="#REF!"/>
    <e v="#REF!"/>
    <e v="#REF!"/>
    <e v="#REF!"/>
    <e v="#REF!"/>
    <e v="#REF!"/>
    <e v="#REF!"/>
    <e v="#REF!"/>
    <e v="#REF!"/>
    <m/>
    <m/>
    <m/>
    <n v="0"/>
    <m/>
    <m/>
    <m/>
    <s v="MMR015CMP221"/>
    <s v="Zinc roof Sheet"/>
  </r>
  <r>
    <x v="89"/>
    <x v="14"/>
    <x v="2"/>
    <s v="KBC"/>
    <s v="Kachin"/>
    <x v="3"/>
    <s v="Momauk Baptist Church"/>
    <m/>
    <m/>
    <m/>
    <m/>
    <m/>
    <m/>
    <m/>
    <n v="124"/>
    <m/>
    <m/>
    <m/>
    <n v="124"/>
    <m/>
    <m/>
    <m/>
    <m/>
    <m/>
    <m/>
    <m/>
    <m/>
    <e v="#REF!"/>
    <e v="#REF!"/>
    <e v="#REF!"/>
    <e v="#REF!"/>
    <e v="#REF!"/>
    <e v="#REF!"/>
    <e v="#REF!"/>
    <e v="#REF!"/>
    <e v="#REF!"/>
    <e v="#REF!"/>
    <m/>
    <m/>
    <m/>
    <n v="0"/>
    <m/>
    <m/>
    <m/>
    <s v="MMR001CMP056"/>
    <s v="124 Mattress"/>
  </r>
  <r>
    <x v="90"/>
    <x v="14"/>
    <x v="2"/>
    <m/>
    <s v="Kachin"/>
    <x v="3"/>
    <s v="Host Families"/>
    <m/>
    <m/>
    <m/>
    <m/>
    <m/>
    <m/>
    <m/>
    <n v="387"/>
    <m/>
    <m/>
    <m/>
    <n v="387"/>
    <m/>
    <m/>
    <m/>
    <m/>
    <m/>
    <m/>
    <m/>
    <m/>
    <e v="#REF!"/>
    <e v="#REF!"/>
    <e v="#REF!"/>
    <e v="#REF!"/>
    <e v="#REF!"/>
    <e v="#REF!"/>
    <e v="#REF!"/>
    <e v="#REF!"/>
    <e v="#REF!"/>
    <e v="#REF!"/>
    <m/>
    <m/>
    <m/>
    <n v="0"/>
    <m/>
    <m/>
    <m/>
    <s v="MMR001CMP163"/>
    <s v="387 Mattress"/>
  </r>
  <r>
    <x v="91"/>
    <x v="14"/>
    <x v="2"/>
    <m/>
    <s v="Kachin"/>
    <x v="2"/>
    <s v="Host Families"/>
    <m/>
    <m/>
    <m/>
    <m/>
    <m/>
    <m/>
    <m/>
    <n v="77"/>
    <m/>
    <m/>
    <m/>
    <n v="77"/>
    <m/>
    <m/>
    <m/>
    <m/>
    <m/>
    <m/>
    <m/>
    <m/>
    <e v="#REF!"/>
    <e v="#REF!"/>
    <e v="#REF!"/>
    <e v="#REF!"/>
    <e v="#REF!"/>
    <e v="#REF!"/>
    <e v="#REF!"/>
    <e v="#REF!"/>
    <e v="#REF!"/>
    <e v="#REF!"/>
    <m/>
    <m/>
    <m/>
    <n v="0"/>
    <m/>
    <m/>
    <m/>
    <s v="MMR001CMP163"/>
    <s v="77 Mattress"/>
  </r>
  <r>
    <x v="89"/>
    <x v="14"/>
    <x v="2"/>
    <s v="KMSS"/>
    <s v="Kachin"/>
    <x v="3"/>
    <s v="Man Bung Catholic compound"/>
    <m/>
    <m/>
    <m/>
    <m/>
    <m/>
    <m/>
    <m/>
    <n v="34"/>
    <m/>
    <m/>
    <m/>
    <n v="34"/>
    <m/>
    <m/>
    <m/>
    <m/>
    <m/>
    <m/>
    <m/>
    <m/>
    <e v="#REF!"/>
    <e v="#REF!"/>
    <e v="#REF!"/>
    <e v="#REF!"/>
    <e v="#REF!"/>
    <e v="#REF!"/>
    <e v="#REF!"/>
    <e v="#REF!"/>
    <e v="#REF!"/>
    <e v="#REF!"/>
    <m/>
    <m/>
    <m/>
    <n v="0"/>
    <m/>
    <m/>
    <m/>
    <s v="MMR001CMP062"/>
    <s v="34 Mattress"/>
  </r>
  <r>
    <x v="92"/>
    <x v="15"/>
    <x v="12"/>
    <m/>
    <s v="Shan_North"/>
    <x v="11"/>
    <s v="Lisu Church Namtu"/>
    <m/>
    <n v="101"/>
    <m/>
    <m/>
    <m/>
    <m/>
    <m/>
    <m/>
    <m/>
    <m/>
    <n v="101"/>
    <m/>
    <m/>
    <m/>
    <m/>
    <m/>
    <m/>
    <m/>
    <m/>
    <m/>
    <e v="#REF!"/>
    <e v="#REF!"/>
    <e v="#REF!"/>
    <e v="#REF!"/>
    <e v="#REF!"/>
    <e v="#REF!"/>
    <e v="#REF!"/>
    <e v="#REF!"/>
    <e v="#REF!"/>
    <e v="#REF!"/>
    <m/>
    <m/>
    <m/>
    <n v="0"/>
    <m/>
    <m/>
    <m/>
    <s v="MMR015CMP232"/>
    <m/>
  </r>
  <r>
    <x v="93"/>
    <x v="15"/>
    <x v="12"/>
    <m/>
    <s v="Shan_North"/>
    <x v="11"/>
    <s v="Nam Tu Baptist"/>
    <n v="1"/>
    <m/>
    <m/>
    <m/>
    <m/>
    <m/>
    <m/>
    <m/>
    <m/>
    <m/>
    <m/>
    <m/>
    <m/>
    <m/>
    <m/>
    <m/>
    <m/>
    <m/>
    <m/>
    <m/>
    <e v="#REF!"/>
    <e v="#REF!"/>
    <e v="#REF!"/>
    <e v="#REF!"/>
    <e v="#REF!"/>
    <e v="#REF!"/>
    <e v="#REF!"/>
    <e v="#REF!"/>
    <e v="#REF!"/>
    <e v="#REF!"/>
    <m/>
    <m/>
    <m/>
    <n v="0"/>
    <m/>
    <m/>
    <m/>
    <s v="MMR015CMP014"/>
    <m/>
  </r>
  <r>
    <x v="93"/>
    <x v="16"/>
    <x v="12"/>
    <m/>
    <s v="Shan_North"/>
    <x v="11"/>
    <s v="Kyu Sawt"/>
    <n v="1"/>
    <m/>
    <m/>
    <m/>
    <m/>
    <m/>
    <m/>
    <m/>
    <m/>
    <m/>
    <m/>
    <m/>
    <m/>
    <m/>
    <m/>
    <m/>
    <m/>
    <m/>
    <m/>
    <m/>
    <e v="#REF!"/>
    <e v="#REF!"/>
    <e v="#REF!"/>
    <e v="#REF!"/>
    <e v="#REF!"/>
    <e v="#REF!"/>
    <e v="#REF!"/>
    <e v="#REF!"/>
    <e v="#REF!"/>
    <e v="#REF!"/>
    <m/>
    <m/>
    <m/>
    <n v="0"/>
    <m/>
    <m/>
    <m/>
    <s v=""/>
    <m/>
  </r>
  <r>
    <x v="93"/>
    <x v="16"/>
    <x v="12"/>
    <m/>
    <s v="Shan_North"/>
    <x v="11"/>
    <s v="Kyu Sawt"/>
    <n v="1"/>
    <m/>
    <m/>
    <m/>
    <m/>
    <m/>
    <m/>
    <m/>
    <m/>
    <m/>
    <m/>
    <m/>
    <m/>
    <m/>
    <m/>
    <m/>
    <m/>
    <m/>
    <m/>
    <m/>
    <e v="#REF!"/>
    <e v="#REF!"/>
    <e v="#REF!"/>
    <e v="#REF!"/>
    <e v="#REF!"/>
    <e v="#REF!"/>
    <e v="#REF!"/>
    <e v="#REF!"/>
    <e v="#REF!"/>
    <e v="#REF!"/>
    <m/>
    <m/>
    <m/>
    <n v="0"/>
    <m/>
    <m/>
    <m/>
    <s v=""/>
    <m/>
  </r>
  <r>
    <x v="94"/>
    <x v="16"/>
    <x v="12"/>
    <m/>
    <s v="Shan_North"/>
    <x v="11"/>
    <s v="Manwin  RC ( 1 )"/>
    <n v="1"/>
    <m/>
    <m/>
    <m/>
    <m/>
    <m/>
    <m/>
    <m/>
    <m/>
    <m/>
    <m/>
    <m/>
    <m/>
    <m/>
    <m/>
    <m/>
    <m/>
    <m/>
    <m/>
    <m/>
    <e v="#REF!"/>
    <e v="#REF!"/>
    <e v="#REF!"/>
    <e v="#REF!"/>
    <e v="#REF!"/>
    <e v="#REF!"/>
    <e v="#REF!"/>
    <e v="#REF!"/>
    <e v="#REF!"/>
    <e v="#REF!"/>
    <m/>
    <m/>
    <m/>
    <n v="0"/>
    <m/>
    <m/>
    <m/>
    <s v=""/>
    <m/>
  </r>
  <r>
    <x v="94"/>
    <x v="16"/>
    <x v="12"/>
    <m/>
    <s v="Shan_North"/>
    <x v="11"/>
    <s v="Manwin  RC ( 1 )"/>
    <n v="1"/>
    <m/>
    <m/>
    <n v="1"/>
    <m/>
    <m/>
    <m/>
    <m/>
    <m/>
    <m/>
    <m/>
    <m/>
    <m/>
    <m/>
    <m/>
    <m/>
    <m/>
    <m/>
    <m/>
    <m/>
    <e v="#REF!"/>
    <e v="#REF!"/>
    <e v="#REF!"/>
    <e v="#REF!"/>
    <e v="#REF!"/>
    <e v="#REF!"/>
    <e v="#REF!"/>
    <e v="#REF!"/>
    <e v="#REF!"/>
    <e v="#REF!"/>
    <m/>
    <m/>
    <m/>
    <n v="0"/>
    <m/>
    <m/>
    <m/>
    <s v=""/>
    <m/>
  </r>
  <r>
    <x v="92"/>
    <x v="16"/>
    <x v="12"/>
    <m/>
    <s v="Shan_North"/>
    <x v="11"/>
    <s v="Nam Tu Baptist"/>
    <m/>
    <m/>
    <m/>
    <n v="1"/>
    <m/>
    <m/>
    <m/>
    <m/>
    <m/>
    <m/>
    <m/>
    <m/>
    <m/>
    <m/>
    <m/>
    <m/>
    <m/>
    <m/>
    <m/>
    <m/>
    <e v="#REF!"/>
    <e v="#REF!"/>
    <e v="#REF!"/>
    <e v="#REF!"/>
    <e v="#REF!"/>
    <e v="#REF!"/>
    <e v="#REF!"/>
    <e v="#REF!"/>
    <e v="#REF!"/>
    <e v="#REF!"/>
    <m/>
    <m/>
    <m/>
    <n v="0"/>
    <m/>
    <m/>
    <m/>
    <s v="MMR015CMP014"/>
    <m/>
  </r>
  <r>
    <x v="92"/>
    <x v="16"/>
    <x v="12"/>
    <m/>
    <s v="Shan_North"/>
    <x v="11"/>
    <s v="Lisu Church Namtu"/>
    <m/>
    <m/>
    <m/>
    <n v="1"/>
    <m/>
    <m/>
    <m/>
    <m/>
    <m/>
    <m/>
    <m/>
    <m/>
    <m/>
    <m/>
    <m/>
    <m/>
    <m/>
    <m/>
    <m/>
    <m/>
    <e v="#REF!"/>
    <e v="#REF!"/>
    <e v="#REF!"/>
    <e v="#REF!"/>
    <e v="#REF!"/>
    <e v="#REF!"/>
    <e v="#REF!"/>
    <e v="#REF!"/>
    <e v="#REF!"/>
    <e v="#REF!"/>
    <m/>
    <m/>
    <m/>
    <n v="0"/>
    <m/>
    <m/>
    <m/>
    <s v="MMR015CMP232"/>
    <m/>
  </r>
  <r>
    <x v="92"/>
    <x v="16"/>
    <x v="12"/>
    <m/>
    <s v="Kachin"/>
    <x v="2"/>
    <s v="Kyu Sawt"/>
    <m/>
    <m/>
    <m/>
    <m/>
    <m/>
    <m/>
    <m/>
    <m/>
    <m/>
    <m/>
    <m/>
    <m/>
    <m/>
    <m/>
    <m/>
    <m/>
    <m/>
    <m/>
    <m/>
    <m/>
    <e v="#REF!"/>
    <e v="#REF!"/>
    <e v="#REF!"/>
    <e v="#REF!"/>
    <e v="#REF!"/>
    <e v="#REF!"/>
    <e v="#REF!"/>
    <e v="#REF!"/>
    <e v="#REF!"/>
    <e v="#REF!"/>
    <m/>
    <m/>
    <m/>
    <n v="0"/>
    <m/>
    <m/>
    <m/>
    <s v=""/>
    <m/>
  </r>
  <r>
    <x v="95"/>
    <x v="15"/>
    <x v="5"/>
    <s v="UNHCR"/>
    <s v="Kachin"/>
    <x v="1"/>
    <s v="Tat Kone COC Baptist - Tat Kone Htoi San"/>
    <m/>
    <m/>
    <m/>
    <n v="3"/>
    <n v="2"/>
    <n v="6"/>
    <n v="3"/>
    <n v="6"/>
    <n v="3"/>
    <m/>
    <n v="3"/>
    <n v="7"/>
    <m/>
    <m/>
    <m/>
    <m/>
    <n v="3"/>
    <m/>
    <m/>
    <m/>
    <e v="#REF!"/>
    <e v="#REF!"/>
    <e v="#REF!"/>
    <e v="#REF!"/>
    <e v="#REF!"/>
    <e v="#REF!"/>
    <e v="#REF!"/>
    <e v="#REF!"/>
    <e v="#REF!"/>
    <e v="#REF!"/>
    <m/>
    <m/>
    <m/>
    <n v="0"/>
    <m/>
    <m/>
    <m/>
    <s v="MMR001CMP023"/>
    <m/>
  </r>
  <r>
    <x v="95"/>
    <x v="16"/>
    <x v="5"/>
    <s v="UNHCR"/>
    <s v="Kachin"/>
    <x v="0"/>
    <s v="Qtr. 2 Lhaovo Baptist Church"/>
    <m/>
    <m/>
    <m/>
    <n v="2"/>
    <n v="2"/>
    <n v="7"/>
    <n v="2"/>
    <n v="7"/>
    <n v="2"/>
    <m/>
    <n v="2"/>
    <n v="10"/>
    <m/>
    <m/>
    <m/>
    <m/>
    <n v="2"/>
    <m/>
    <m/>
    <m/>
    <e v="#REF!"/>
    <e v="#REF!"/>
    <e v="#REF!"/>
    <e v="#REF!"/>
    <e v="#REF!"/>
    <e v="#REF!"/>
    <e v="#REF!"/>
    <e v="#REF!"/>
    <e v="#REF!"/>
    <e v="#REF!"/>
    <m/>
    <m/>
    <m/>
    <n v="0"/>
    <m/>
    <m/>
    <m/>
    <s v="MMR001CMP032"/>
    <m/>
  </r>
  <r>
    <x v="96"/>
    <x v="16"/>
    <x v="13"/>
    <m/>
    <s v="Kachin"/>
    <x v="1"/>
    <s v="Tang Hpare Camp"/>
    <m/>
    <m/>
    <m/>
    <m/>
    <m/>
    <n v="412"/>
    <n v="254"/>
    <m/>
    <m/>
    <m/>
    <n v="166"/>
    <n v="254"/>
    <m/>
    <m/>
    <m/>
    <m/>
    <m/>
    <m/>
    <m/>
    <m/>
    <e v="#REF!"/>
    <e v="#REF!"/>
    <e v="#REF!"/>
    <e v="#REF!"/>
    <e v="#REF!"/>
    <e v="#REF!"/>
    <e v="#REF!"/>
    <e v="#REF!"/>
    <e v="#REF!"/>
    <e v="#REF!"/>
    <m/>
    <m/>
    <m/>
    <n v="0"/>
    <m/>
    <m/>
    <m/>
    <s v=""/>
    <m/>
  </r>
  <r>
    <x v="97"/>
    <x v="17"/>
    <x v="13"/>
    <m/>
    <s v="Kachin"/>
    <x v="17"/>
    <s v="Lambraw Yang (KBC)"/>
    <m/>
    <m/>
    <m/>
    <m/>
    <m/>
    <n v="213"/>
    <n v="213"/>
    <m/>
    <m/>
    <m/>
    <n v="97"/>
    <m/>
    <m/>
    <m/>
    <m/>
    <m/>
    <m/>
    <m/>
    <m/>
    <m/>
    <e v="#REF!"/>
    <e v="#REF!"/>
    <e v="#REF!"/>
    <e v="#REF!"/>
    <e v="#REF!"/>
    <e v="#REF!"/>
    <e v="#REF!"/>
    <e v="#REF!"/>
    <e v="#REF!"/>
    <e v="#REF!"/>
    <m/>
    <m/>
    <m/>
    <n v="0"/>
    <m/>
    <m/>
    <m/>
    <s v=""/>
    <m/>
  </r>
  <r>
    <x v="97"/>
    <x v="17"/>
    <x v="13"/>
    <m/>
    <s v="Kachin"/>
    <x v="17"/>
    <s v="Kan La (AG)"/>
    <m/>
    <m/>
    <m/>
    <m/>
    <m/>
    <n v="44"/>
    <n v="34"/>
    <m/>
    <m/>
    <m/>
    <n v="31"/>
    <m/>
    <m/>
    <m/>
    <m/>
    <m/>
    <m/>
    <m/>
    <m/>
    <m/>
    <e v="#REF!"/>
    <e v="#REF!"/>
    <e v="#REF!"/>
    <e v="#REF!"/>
    <e v="#REF!"/>
    <e v="#REF!"/>
    <e v="#REF!"/>
    <e v="#REF!"/>
    <e v="#REF!"/>
    <e v="#REF!"/>
    <m/>
    <m/>
    <m/>
    <n v="0"/>
    <m/>
    <m/>
    <m/>
    <s v=""/>
    <m/>
  </r>
  <r>
    <x v="97"/>
    <x v="17"/>
    <x v="13"/>
    <m/>
    <s v="Kachin"/>
    <x v="17"/>
    <s v="Myo OO(RC)"/>
    <m/>
    <m/>
    <m/>
    <m/>
    <m/>
    <n v="99"/>
    <m/>
    <m/>
    <m/>
    <m/>
    <n v="45"/>
    <m/>
    <m/>
    <m/>
    <m/>
    <m/>
    <m/>
    <m/>
    <m/>
    <m/>
    <e v="#REF!"/>
    <e v="#REF!"/>
    <e v="#REF!"/>
    <e v="#REF!"/>
    <e v="#REF!"/>
    <e v="#REF!"/>
    <e v="#REF!"/>
    <e v="#REF!"/>
    <e v="#REF!"/>
    <e v="#REF!"/>
    <m/>
    <m/>
    <m/>
    <n v="0"/>
    <m/>
    <m/>
    <m/>
    <s v=""/>
    <m/>
  </r>
  <r>
    <x v="97"/>
    <x v="17"/>
    <x v="13"/>
    <m/>
    <s v="Kachin"/>
    <x v="17"/>
    <s v="Lambraw Yang (RC)"/>
    <m/>
    <m/>
    <m/>
    <m/>
    <m/>
    <n v="167"/>
    <m/>
    <m/>
    <m/>
    <m/>
    <n v="72"/>
    <m/>
    <m/>
    <m/>
    <m/>
    <m/>
    <m/>
    <m/>
    <m/>
    <m/>
    <e v="#REF!"/>
    <e v="#REF!"/>
    <e v="#REF!"/>
    <e v="#REF!"/>
    <e v="#REF!"/>
    <e v="#REF!"/>
    <e v="#REF!"/>
    <e v="#REF!"/>
    <e v="#REF!"/>
    <e v="#REF!"/>
    <m/>
    <m/>
    <m/>
    <n v="0"/>
    <m/>
    <m/>
    <m/>
    <s v=""/>
    <m/>
  </r>
  <r>
    <x v="98"/>
    <x v="16"/>
    <x v="4"/>
    <s v="MRCS"/>
    <s v="Kachin"/>
    <x v="12"/>
    <s v="Aung Lawt "/>
    <m/>
    <m/>
    <m/>
    <m/>
    <n v="36"/>
    <m/>
    <m/>
    <m/>
    <m/>
    <m/>
    <m/>
    <m/>
    <m/>
    <m/>
    <m/>
    <m/>
    <m/>
    <m/>
    <m/>
    <m/>
    <e v="#REF!"/>
    <e v="#REF!"/>
    <e v="#REF!"/>
    <e v="#REF!"/>
    <e v="#REF!"/>
    <e v="#REF!"/>
    <e v="#REF!"/>
    <e v="#REF!"/>
    <e v="#REF!"/>
    <e v="#REF!"/>
    <m/>
    <m/>
    <m/>
    <n v="0"/>
    <m/>
    <m/>
    <m/>
    <s v=""/>
    <m/>
  </r>
  <r>
    <x v="98"/>
    <x v="16"/>
    <x v="4"/>
    <s v="MRCS"/>
    <s v="Kachin"/>
    <x v="18"/>
    <s v="Lan Gwa (KBC) Church"/>
    <m/>
    <m/>
    <m/>
    <m/>
    <n v="104"/>
    <n v="104"/>
    <m/>
    <m/>
    <n v="104"/>
    <m/>
    <m/>
    <m/>
    <m/>
    <m/>
    <m/>
    <m/>
    <m/>
    <m/>
    <m/>
    <m/>
    <e v="#REF!"/>
    <e v="#REF!"/>
    <e v="#REF!"/>
    <e v="#REF!"/>
    <e v="#REF!"/>
    <e v="#REF!"/>
    <e v="#REF!"/>
    <e v="#REF!"/>
    <e v="#REF!"/>
    <e v="#REF!"/>
    <m/>
    <m/>
    <m/>
    <n v="0"/>
    <m/>
    <m/>
    <m/>
    <s v=""/>
    <m/>
  </r>
  <r>
    <x v="98"/>
    <x v="16"/>
    <x v="4"/>
    <s v="MRCS"/>
    <s v="Kachin"/>
    <x v="18"/>
    <s v="Lan Gwa (RC) Church"/>
    <m/>
    <m/>
    <m/>
    <m/>
    <n v="86"/>
    <n v="86"/>
    <m/>
    <m/>
    <n v="86"/>
    <m/>
    <m/>
    <m/>
    <m/>
    <m/>
    <m/>
    <m/>
    <m/>
    <m/>
    <m/>
    <m/>
    <e v="#REF!"/>
    <e v="#REF!"/>
    <e v="#REF!"/>
    <e v="#REF!"/>
    <e v="#REF!"/>
    <e v="#REF!"/>
    <e v="#REF!"/>
    <e v="#REF!"/>
    <e v="#REF!"/>
    <e v="#REF!"/>
    <m/>
    <m/>
    <m/>
    <n v="0"/>
    <m/>
    <m/>
    <m/>
    <s v=""/>
    <m/>
  </r>
  <r>
    <x v="98"/>
    <x v="16"/>
    <x v="4"/>
    <s v="MRCS"/>
    <s v="Kachin"/>
    <x v="18"/>
    <s v="Emanuel AG Church"/>
    <m/>
    <m/>
    <m/>
    <m/>
    <n v="35"/>
    <n v="35"/>
    <m/>
    <m/>
    <n v="35"/>
    <m/>
    <m/>
    <m/>
    <m/>
    <m/>
    <m/>
    <m/>
    <m/>
    <m/>
    <m/>
    <m/>
    <e v="#REF!"/>
    <e v="#REF!"/>
    <e v="#REF!"/>
    <e v="#REF!"/>
    <e v="#REF!"/>
    <e v="#REF!"/>
    <e v="#REF!"/>
    <e v="#REF!"/>
    <e v="#REF!"/>
    <e v="#REF!"/>
    <m/>
    <m/>
    <m/>
    <n v="0"/>
    <m/>
    <m/>
    <m/>
    <s v=""/>
    <m/>
  </r>
  <r>
    <x v="98"/>
    <x v="16"/>
    <x v="4"/>
    <s v="MRCS"/>
    <s v="Kachin"/>
    <x v="18"/>
    <s v="Myo Oo RC Church"/>
    <m/>
    <m/>
    <m/>
    <m/>
    <n v="46"/>
    <n v="46"/>
    <m/>
    <m/>
    <n v="46"/>
    <m/>
    <m/>
    <m/>
    <m/>
    <m/>
    <m/>
    <m/>
    <m/>
    <m/>
    <m/>
    <m/>
    <e v="#REF!"/>
    <e v="#REF!"/>
    <e v="#REF!"/>
    <e v="#REF!"/>
    <e v="#REF!"/>
    <e v="#REF!"/>
    <e v="#REF!"/>
    <e v="#REF!"/>
    <e v="#REF!"/>
    <e v="#REF!"/>
    <m/>
    <m/>
    <m/>
    <n v="0"/>
    <m/>
    <m/>
    <m/>
    <s v=""/>
    <m/>
  </r>
  <r>
    <x v="96"/>
    <x v="16"/>
    <x v="4"/>
    <s v="MRCS"/>
    <s v="Kachin"/>
    <x v="1"/>
    <s v="Tang Hpre RC"/>
    <m/>
    <m/>
    <m/>
    <m/>
    <n v="179"/>
    <n v="179"/>
    <m/>
    <m/>
    <m/>
    <m/>
    <m/>
    <m/>
    <m/>
    <m/>
    <m/>
    <m/>
    <n v="179"/>
    <m/>
    <m/>
    <m/>
    <e v="#REF!"/>
    <e v="#REF!"/>
    <e v="#REF!"/>
    <e v="#REF!"/>
    <e v="#REF!"/>
    <e v="#REF!"/>
    <e v="#REF!"/>
    <e v="#REF!"/>
    <e v="#REF!"/>
    <e v="#REF!"/>
    <m/>
    <m/>
    <m/>
    <n v="0"/>
    <m/>
    <m/>
    <m/>
    <s v=""/>
    <m/>
  </r>
  <r>
    <x v="96"/>
    <x v="16"/>
    <x v="4"/>
    <s v="MRCS"/>
    <s v="Kachin"/>
    <x v="1"/>
    <s v="Tiyang Zup"/>
    <m/>
    <m/>
    <m/>
    <m/>
    <n v="27"/>
    <n v="27"/>
    <m/>
    <m/>
    <m/>
    <m/>
    <m/>
    <m/>
    <m/>
    <m/>
    <m/>
    <m/>
    <n v="27"/>
    <m/>
    <m/>
    <m/>
    <e v="#REF!"/>
    <e v="#REF!"/>
    <e v="#REF!"/>
    <e v="#REF!"/>
    <e v="#REF!"/>
    <e v="#REF!"/>
    <e v="#REF!"/>
    <e v="#REF!"/>
    <e v="#REF!"/>
    <e v="#REF!"/>
    <m/>
    <m/>
    <m/>
    <n v="0"/>
    <m/>
    <m/>
    <m/>
    <s v=""/>
    <m/>
  </r>
  <r>
    <x v="99"/>
    <x v="17"/>
    <x v="4"/>
    <s v="MRCS"/>
    <s v="Kachin"/>
    <x v="0"/>
    <s v="Hka Wan KBC"/>
    <m/>
    <m/>
    <m/>
    <n v="24"/>
    <n v="24"/>
    <n v="24"/>
    <n v="48"/>
    <n v="48"/>
    <n v="24"/>
    <m/>
    <m/>
    <m/>
    <m/>
    <m/>
    <m/>
    <m/>
    <n v="24"/>
    <m/>
    <m/>
    <m/>
    <e v="#REF!"/>
    <e v="#REF!"/>
    <e v="#REF!"/>
    <e v="#REF!"/>
    <e v="#REF!"/>
    <e v="#REF!"/>
    <e v="#REF!"/>
    <e v="#REF!"/>
    <e v="#REF!"/>
    <e v="#REF!"/>
    <m/>
    <m/>
    <m/>
    <n v="0"/>
    <m/>
    <m/>
    <m/>
    <s v=""/>
    <m/>
  </r>
  <r>
    <x v="99"/>
    <x v="17"/>
    <x v="4"/>
    <s v="MRCS"/>
    <s v="Kachin"/>
    <x v="0"/>
    <s v="Shangaw KBC"/>
    <m/>
    <m/>
    <m/>
    <n v="61"/>
    <n v="61"/>
    <n v="61"/>
    <n v="122"/>
    <n v="122"/>
    <n v="61"/>
    <m/>
    <m/>
    <m/>
    <m/>
    <m/>
    <m/>
    <m/>
    <n v="61"/>
    <m/>
    <m/>
    <m/>
    <e v="#REF!"/>
    <e v="#REF!"/>
    <e v="#REF!"/>
    <e v="#REF!"/>
    <e v="#REF!"/>
    <e v="#REF!"/>
    <e v="#REF!"/>
    <e v="#REF!"/>
    <e v="#REF!"/>
    <e v="#REF!"/>
    <m/>
    <m/>
    <m/>
    <n v="0"/>
    <m/>
    <m/>
    <m/>
    <s v=""/>
    <m/>
  </r>
  <r>
    <x v="99"/>
    <x v="17"/>
    <x v="4"/>
    <s v="MRCS"/>
    <s v="Kachin"/>
    <x v="7"/>
    <s v="Chipwi KBC and LBC"/>
    <m/>
    <m/>
    <m/>
    <n v="99"/>
    <n v="99"/>
    <n v="99"/>
    <n v="198"/>
    <n v="198"/>
    <n v="99"/>
    <m/>
    <m/>
    <m/>
    <m/>
    <m/>
    <m/>
    <m/>
    <n v="99"/>
    <n v="130"/>
    <m/>
    <m/>
    <e v="#REF!"/>
    <e v="#REF!"/>
    <e v="#REF!"/>
    <e v="#REF!"/>
    <e v="#REF!"/>
    <e v="#REF!"/>
    <e v="#REF!"/>
    <e v="#REF!"/>
    <e v="#REF!"/>
    <e v="#REF!"/>
    <m/>
    <m/>
    <m/>
    <n v="0"/>
    <m/>
    <m/>
    <m/>
    <s v=""/>
    <m/>
  </r>
  <r>
    <x v="99"/>
    <x v="17"/>
    <x v="4"/>
    <s v="MRCS"/>
    <s v="Kachin"/>
    <x v="6"/>
    <s v="Hlaing Naung Hku/Ka Mai"/>
    <m/>
    <n v="28"/>
    <m/>
    <m/>
    <m/>
    <n v="28"/>
    <n v="28"/>
    <n v="28"/>
    <n v="28"/>
    <m/>
    <m/>
    <m/>
    <m/>
    <m/>
    <m/>
    <m/>
    <m/>
    <m/>
    <m/>
    <m/>
    <e v="#REF!"/>
    <e v="#REF!"/>
    <e v="#REF!"/>
    <e v="#REF!"/>
    <e v="#REF!"/>
    <e v="#REF!"/>
    <e v="#REF!"/>
    <e v="#REF!"/>
    <e v="#REF!"/>
    <e v="#REF!"/>
    <m/>
    <m/>
    <m/>
    <n v="0"/>
    <m/>
    <m/>
    <m/>
    <s v=""/>
    <m/>
  </r>
  <r>
    <x v="100"/>
    <x v="17"/>
    <x v="4"/>
    <s v="MRCS"/>
    <s v="Kachin"/>
    <x v="19"/>
    <s v="InJang Yang RC Church"/>
    <m/>
    <m/>
    <m/>
    <m/>
    <n v="29"/>
    <n v="29"/>
    <m/>
    <m/>
    <n v="29"/>
    <m/>
    <m/>
    <m/>
    <m/>
    <m/>
    <m/>
    <m/>
    <m/>
    <m/>
    <m/>
    <m/>
    <e v="#REF!"/>
    <e v="#REF!"/>
    <e v="#REF!"/>
    <e v="#REF!"/>
    <e v="#REF!"/>
    <e v="#REF!"/>
    <e v="#REF!"/>
    <e v="#REF!"/>
    <e v="#REF!"/>
    <e v="#REF!"/>
    <m/>
    <m/>
    <m/>
    <n v="0"/>
    <m/>
    <m/>
    <m/>
    <s v=""/>
    <m/>
  </r>
  <r>
    <x v="100"/>
    <x v="17"/>
    <x v="4"/>
    <s v="MRCS"/>
    <s v="Kachin"/>
    <x v="12"/>
    <s v="Tanai RC Church-Kinsa Ra"/>
    <m/>
    <m/>
    <m/>
    <m/>
    <m/>
    <n v="67"/>
    <m/>
    <m/>
    <m/>
    <m/>
    <m/>
    <m/>
    <m/>
    <m/>
    <m/>
    <m/>
    <m/>
    <m/>
    <m/>
    <m/>
    <e v="#REF!"/>
    <e v="#REF!"/>
    <e v="#REF!"/>
    <e v="#REF!"/>
    <e v="#REF!"/>
    <e v="#REF!"/>
    <e v="#REF!"/>
    <e v="#REF!"/>
    <e v="#REF!"/>
    <e v="#REF!"/>
    <m/>
    <m/>
    <m/>
    <n v="0"/>
    <m/>
    <m/>
    <m/>
    <s v=""/>
    <m/>
  </r>
  <r>
    <x v="100"/>
    <x v="17"/>
    <x v="4"/>
    <s v="MRCS"/>
    <s v="Kachin"/>
    <x v="6"/>
    <s v="Lawa RC Church"/>
    <m/>
    <m/>
    <m/>
    <n v="37"/>
    <m/>
    <s v=" "/>
    <n v="74"/>
    <n v="74"/>
    <n v="37"/>
    <m/>
    <m/>
    <m/>
    <m/>
    <m/>
    <m/>
    <m/>
    <n v="37"/>
    <m/>
    <m/>
    <m/>
    <e v="#REF!"/>
    <e v="#REF!"/>
    <e v="#REF!"/>
    <e v="#REF!"/>
    <e v="#REF!"/>
    <e v="#REF!"/>
    <e v="#REF!"/>
    <e v="#REF!"/>
    <e v="#REF!"/>
    <e v="#REF!"/>
    <m/>
    <m/>
    <m/>
    <n v="0"/>
    <m/>
    <m/>
    <m/>
    <s v=""/>
    <m/>
  </r>
  <r>
    <x v="100"/>
    <x v="17"/>
    <x v="4"/>
    <s v="MRCS"/>
    <s v="Kachin"/>
    <x v="1"/>
    <s v="Jawmaswat, Naung Nan"/>
    <m/>
    <n v="92"/>
    <m/>
    <n v="92"/>
    <m/>
    <m/>
    <n v="184"/>
    <n v="184"/>
    <n v="92"/>
    <m/>
    <m/>
    <m/>
    <m/>
    <m/>
    <m/>
    <m/>
    <n v="92"/>
    <m/>
    <m/>
    <m/>
    <e v="#REF!"/>
    <e v="#REF!"/>
    <e v="#REF!"/>
    <e v="#REF!"/>
    <e v="#REF!"/>
    <e v="#REF!"/>
    <e v="#REF!"/>
    <e v="#REF!"/>
    <e v="#REF!"/>
    <e v="#REF!"/>
    <m/>
    <m/>
    <m/>
    <n v="0"/>
    <m/>
    <m/>
    <m/>
    <s v=""/>
    <m/>
  </r>
  <r>
    <x v="100"/>
    <x v="17"/>
    <x v="3"/>
    <s v="Metta"/>
    <s v="Kachin"/>
    <x v="1"/>
    <s v="Tang Hpre RC"/>
    <m/>
    <m/>
    <m/>
    <m/>
    <m/>
    <n v="101"/>
    <m/>
    <n v="101"/>
    <m/>
    <m/>
    <m/>
    <n v="101"/>
    <m/>
    <m/>
    <m/>
    <m/>
    <m/>
    <m/>
    <m/>
    <m/>
    <e v="#REF!"/>
    <e v="#REF!"/>
    <e v="#REF!"/>
    <e v="#REF!"/>
    <e v="#REF!"/>
    <e v="#REF!"/>
    <e v="#REF!"/>
    <e v="#REF!"/>
    <e v="#REF!"/>
    <e v="#REF!"/>
    <m/>
    <m/>
    <m/>
    <n v="0"/>
    <m/>
    <m/>
    <m/>
    <s v=""/>
    <m/>
  </r>
  <r>
    <x v="100"/>
    <x v="17"/>
    <x v="3"/>
    <s v="Metta"/>
    <s v="Kachin"/>
    <x v="1"/>
    <s v="Trinity"/>
    <m/>
    <m/>
    <m/>
    <m/>
    <m/>
    <n v="279"/>
    <m/>
    <n v="279"/>
    <m/>
    <m/>
    <m/>
    <n v="279"/>
    <m/>
    <m/>
    <m/>
    <m/>
    <m/>
    <m/>
    <m/>
    <m/>
    <e v="#REF!"/>
    <e v="#REF!"/>
    <e v="#REF!"/>
    <e v="#REF!"/>
    <e v="#REF!"/>
    <e v="#REF!"/>
    <e v="#REF!"/>
    <e v="#REF!"/>
    <e v="#REF!"/>
    <e v="#REF!"/>
    <m/>
    <m/>
    <m/>
    <n v="0"/>
    <m/>
    <m/>
    <m/>
    <s v=""/>
    <m/>
  </r>
  <r>
    <x v="100"/>
    <x v="17"/>
    <x v="3"/>
    <s v="Metta"/>
    <s v="Kachin"/>
    <x v="1"/>
    <s v="Jawmaswat, Naung Nan"/>
    <m/>
    <m/>
    <m/>
    <m/>
    <m/>
    <n v="92"/>
    <m/>
    <n v="92"/>
    <m/>
    <m/>
    <m/>
    <n v="92"/>
    <m/>
    <m/>
    <m/>
    <m/>
    <m/>
    <m/>
    <m/>
    <m/>
    <e v="#REF!"/>
    <e v="#REF!"/>
    <e v="#REF!"/>
    <e v="#REF!"/>
    <e v="#REF!"/>
    <e v="#REF!"/>
    <e v="#REF!"/>
    <e v="#REF!"/>
    <e v="#REF!"/>
    <e v="#REF!"/>
    <m/>
    <m/>
    <m/>
    <n v="0"/>
    <m/>
    <m/>
    <m/>
    <s v=""/>
    <m/>
  </r>
  <r>
    <x v="100"/>
    <x v="17"/>
    <x v="3"/>
    <s v="Metta"/>
    <s v="Kachin"/>
    <x v="18"/>
    <s v="Lan Gwa (KBC) Church"/>
    <m/>
    <m/>
    <m/>
    <m/>
    <m/>
    <m/>
    <m/>
    <m/>
    <m/>
    <m/>
    <m/>
    <m/>
    <m/>
    <m/>
    <m/>
    <m/>
    <m/>
    <m/>
    <m/>
    <m/>
    <e v="#REF!"/>
    <e v="#REF!"/>
    <e v="#REF!"/>
    <e v="#REF!"/>
    <e v="#REF!"/>
    <e v="#REF!"/>
    <e v="#REF!"/>
    <e v="#REF!"/>
    <e v="#REF!"/>
    <e v="#REF!"/>
    <m/>
    <m/>
    <m/>
    <n v="0"/>
    <m/>
    <m/>
    <m/>
    <s v=""/>
    <m/>
  </r>
  <r>
    <x v="100"/>
    <x v="17"/>
    <x v="3"/>
    <s v="Metta"/>
    <s v="Kachin"/>
    <x v="18"/>
    <s v="Lan Gwa (RC) Church"/>
    <m/>
    <m/>
    <m/>
    <m/>
    <m/>
    <m/>
    <m/>
    <m/>
    <m/>
    <m/>
    <m/>
    <m/>
    <m/>
    <m/>
    <m/>
    <m/>
    <m/>
    <m/>
    <m/>
    <m/>
    <e v="#REF!"/>
    <e v="#REF!"/>
    <e v="#REF!"/>
    <e v="#REF!"/>
    <e v="#REF!"/>
    <e v="#REF!"/>
    <e v="#REF!"/>
    <e v="#REF!"/>
    <e v="#REF!"/>
    <e v="#REF!"/>
    <m/>
    <m/>
    <m/>
    <n v="0"/>
    <m/>
    <m/>
    <m/>
    <s v=""/>
    <m/>
  </r>
  <r>
    <x v="100"/>
    <x v="17"/>
    <x v="3"/>
    <s v="Metta"/>
    <s v="Kachin"/>
    <x v="18"/>
    <s v="Myo Oo RC Church"/>
    <m/>
    <m/>
    <m/>
    <m/>
    <m/>
    <m/>
    <m/>
    <m/>
    <m/>
    <m/>
    <m/>
    <m/>
    <m/>
    <m/>
    <m/>
    <m/>
    <m/>
    <m/>
    <m/>
    <m/>
    <e v="#REF!"/>
    <e v="#REF!"/>
    <e v="#REF!"/>
    <e v="#REF!"/>
    <e v="#REF!"/>
    <e v="#REF!"/>
    <e v="#REF!"/>
    <e v="#REF!"/>
    <e v="#REF!"/>
    <e v="#REF!"/>
    <m/>
    <m/>
    <m/>
    <n v="0"/>
    <m/>
    <m/>
    <m/>
    <s v=""/>
    <m/>
  </r>
  <r>
    <x v="100"/>
    <x v="17"/>
    <x v="14"/>
    <s v="KBC"/>
    <s v="Kachin"/>
    <x v="1"/>
    <s v="Tiyang Zup"/>
    <m/>
    <m/>
    <m/>
    <n v="25"/>
    <m/>
    <n v="50"/>
    <n v="50"/>
    <n v="50"/>
    <n v="25"/>
    <m/>
    <n v="25"/>
    <m/>
    <m/>
    <m/>
    <m/>
    <m/>
    <m/>
    <m/>
    <m/>
    <m/>
    <e v="#REF!"/>
    <e v="#REF!"/>
    <e v="#REF!"/>
    <e v="#REF!"/>
    <e v="#REF!"/>
    <e v="#REF!"/>
    <e v="#REF!"/>
    <e v="#REF!"/>
    <e v="#REF!"/>
    <e v="#REF!"/>
    <m/>
    <m/>
    <m/>
    <n v="0"/>
    <m/>
    <m/>
    <m/>
    <s v=""/>
    <m/>
  </r>
  <r>
    <x v="100"/>
    <x v="17"/>
    <x v="14"/>
    <s v="KBC"/>
    <s v="Kachin"/>
    <x v="6"/>
    <s v="Hlaing Naung Hku/Ka Mai"/>
    <m/>
    <m/>
    <m/>
    <n v="31"/>
    <m/>
    <n v="62"/>
    <n v="62"/>
    <n v="62"/>
    <n v="31"/>
    <m/>
    <n v="31"/>
    <m/>
    <m/>
    <m/>
    <m/>
    <m/>
    <m/>
    <m/>
    <m/>
    <m/>
    <e v="#REF!"/>
    <e v="#REF!"/>
    <e v="#REF!"/>
    <e v="#REF!"/>
    <e v="#REF!"/>
    <e v="#REF!"/>
    <e v="#REF!"/>
    <e v="#REF!"/>
    <e v="#REF!"/>
    <e v="#REF!"/>
    <m/>
    <m/>
    <m/>
    <n v="0"/>
    <m/>
    <m/>
    <m/>
    <s v=""/>
    <m/>
  </r>
  <r>
    <x v="100"/>
    <x v="17"/>
    <x v="14"/>
    <s v="KBC"/>
    <s v="Kachin"/>
    <x v="0"/>
    <s v="Shangaw KBC"/>
    <m/>
    <m/>
    <m/>
    <n v="41"/>
    <m/>
    <n v="82"/>
    <n v="82"/>
    <n v="82"/>
    <n v="41"/>
    <m/>
    <n v="41"/>
    <m/>
    <m/>
    <m/>
    <m/>
    <m/>
    <m/>
    <m/>
    <m/>
    <m/>
    <e v="#REF!"/>
    <e v="#REF!"/>
    <e v="#REF!"/>
    <e v="#REF!"/>
    <e v="#REF!"/>
    <e v="#REF!"/>
    <e v="#REF!"/>
    <e v="#REF!"/>
    <e v="#REF!"/>
    <e v="#REF!"/>
    <m/>
    <m/>
    <m/>
    <n v="0"/>
    <m/>
    <m/>
    <m/>
    <s v=""/>
    <m/>
  </r>
  <r>
    <x v="100"/>
    <x v="17"/>
    <x v="14"/>
    <s v="KBC"/>
    <s v="Kachin"/>
    <x v="0"/>
    <s v="Hka Wan KBC"/>
    <m/>
    <m/>
    <m/>
    <n v="16"/>
    <m/>
    <n v="32"/>
    <n v="32"/>
    <n v="32"/>
    <n v="16"/>
    <m/>
    <n v="16"/>
    <m/>
    <m/>
    <m/>
    <m/>
    <m/>
    <m/>
    <m/>
    <m/>
    <m/>
    <e v="#REF!"/>
    <e v="#REF!"/>
    <e v="#REF!"/>
    <e v="#REF!"/>
    <e v="#REF!"/>
    <e v="#REF!"/>
    <e v="#REF!"/>
    <e v="#REF!"/>
    <e v="#REF!"/>
    <e v="#REF!"/>
    <m/>
    <m/>
    <m/>
    <n v="0"/>
    <m/>
    <m/>
    <m/>
    <s v=""/>
    <m/>
  </r>
  <r>
    <x v="100"/>
    <x v="17"/>
    <x v="15"/>
    <s v="KBC"/>
    <s v="Kachin"/>
    <x v="18"/>
    <s v="Lan Gwa (KBC) Church"/>
    <m/>
    <m/>
    <m/>
    <m/>
    <m/>
    <n v="213"/>
    <m/>
    <n v="213"/>
    <m/>
    <m/>
    <n v="99"/>
    <m/>
    <m/>
    <m/>
    <m/>
    <m/>
    <m/>
    <m/>
    <m/>
    <m/>
    <e v="#REF!"/>
    <e v="#REF!"/>
    <e v="#REF!"/>
    <e v="#REF!"/>
    <e v="#REF!"/>
    <e v="#REF!"/>
    <e v="#REF!"/>
    <e v="#REF!"/>
    <e v="#REF!"/>
    <e v="#REF!"/>
    <m/>
    <m/>
    <m/>
    <n v="0"/>
    <m/>
    <m/>
    <m/>
    <s v=""/>
    <m/>
  </r>
  <r>
    <x v="100"/>
    <x v="17"/>
    <x v="15"/>
    <s v="KBC"/>
    <s v="Kachin"/>
    <x v="18"/>
    <s v="Emanuel AG Church"/>
    <m/>
    <m/>
    <m/>
    <m/>
    <m/>
    <n v="44"/>
    <m/>
    <n v="34"/>
    <m/>
    <m/>
    <n v="31"/>
    <m/>
    <m/>
    <m/>
    <m/>
    <m/>
    <m/>
    <m/>
    <m/>
    <m/>
    <e v="#REF!"/>
    <e v="#REF!"/>
    <e v="#REF!"/>
    <e v="#REF!"/>
    <e v="#REF!"/>
    <e v="#REF!"/>
    <e v="#REF!"/>
    <e v="#REF!"/>
    <e v="#REF!"/>
    <e v="#REF!"/>
    <m/>
    <m/>
    <m/>
    <n v="0"/>
    <m/>
    <m/>
    <m/>
    <s v=""/>
    <m/>
  </r>
  <r>
    <x v="100"/>
    <x v="17"/>
    <x v="15"/>
    <s v="KBC"/>
    <s v="Kachin"/>
    <x v="18"/>
    <s v="Lan Gwa (RC) Church"/>
    <m/>
    <m/>
    <m/>
    <m/>
    <m/>
    <n v="167"/>
    <m/>
    <m/>
    <m/>
    <m/>
    <n v="72"/>
    <m/>
    <m/>
    <m/>
    <m/>
    <m/>
    <m/>
    <m/>
    <m/>
    <m/>
    <e v="#REF!"/>
    <e v="#REF!"/>
    <e v="#REF!"/>
    <e v="#REF!"/>
    <e v="#REF!"/>
    <e v="#REF!"/>
    <e v="#REF!"/>
    <e v="#REF!"/>
    <e v="#REF!"/>
    <e v="#REF!"/>
    <m/>
    <m/>
    <m/>
    <n v="0"/>
    <m/>
    <m/>
    <m/>
    <s v=""/>
    <m/>
  </r>
  <r>
    <x v="100"/>
    <x v="17"/>
    <x v="15"/>
    <s v="KBC"/>
    <s v="Kachin"/>
    <x v="18"/>
    <s v="Myo Oo RC Church"/>
    <m/>
    <m/>
    <m/>
    <m/>
    <m/>
    <n v="70"/>
    <m/>
    <m/>
    <m/>
    <m/>
    <n v="45"/>
    <m/>
    <m/>
    <m/>
    <m/>
    <m/>
    <m/>
    <m/>
    <m/>
    <m/>
    <e v="#REF!"/>
    <e v="#REF!"/>
    <e v="#REF!"/>
    <e v="#REF!"/>
    <e v="#REF!"/>
    <e v="#REF!"/>
    <e v="#REF!"/>
    <e v="#REF!"/>
    <e v="#REF!"/>
    <e v="#REF!"/>
    <m/>
    <m/>
    <m/>
    <n v="0"/>
    <m/>
    <m/>
    <m/>
    <s v=""/>
    <m/>
  </r>
  <r>
    <x v="100"/>
    <x v="17"/>
    <x v="16"/>
    <s v="ICRC"/>
    <s v="Kachin"/>
    <x v="7"/>
    <s v="Chipwi KBC and LBC"/>
    <m/>
    <m/>
    <m/>
    <m/>
    <m/>
    <n v="130"/>
    <n v="20"/>
    <n v="130"/>
    <n v="130"/>
    <m/>
    <m/>
    <n v="130"/>
    <m/>
    <m/>
    <m/>
    <m/>
    <m/>
    <m/>
    <m/>
    <m/>
    <e v="#REF!"/>
    <e v="#REF!"/>
    <e v="#REF!"/>
    <e v="#REF!"/>
    <e v="#REF!"/>
    <e v="#REF!"/>
    <e v="#REF!"/>
    <e v="#REF!"/>
    <e v="#REF!"/>
    <e v="#REF!"/>
    <m/>
    <m/>
    <m/>
    <n v="0"/>
    <m/>
    <m/>
    <m/>
    <s v=""/>
    <m/>
  </r>
  <r>
    <x v="100"/>
    <x v="17"/>
    <x v="0"/>
    <s v="UNHCR"/>
    <s v="Kachin"/>
    <x v="1"/>
    <s v="Tang Hpre RC"/>
    <m/>
    <m/>
    <m/>
    <m/>
    <m/>
    <m/>
    <n v="26"/>
    <m/>
    <m/>
    <m/>
    <m/>
    <m/>
    <m/>
    <m/>
    <m/>
    <m/>
    <m/>
    <m/>
    <m/>
    <m/>
    <e v="#REF!"/>
    <e v="#REF!"/>
    <e v="#REF!"/>
    <e v="#REF!"/>
    <e v="#REF!"/>
    <e v="#REF!"/>
    <e v="#REF!"/>
    <e v="#REF!"/>
    <e v="#REF!"/>
    <e v="#REF!"/>
    <m/>
    <m/>
    <m/>
    <n v="0"/>
    <m/>
    <m/>
    <m/>
    <s v=""/>
    <m/>
  </r>
  <r>
    <x v="100"/>
    <x v="17"/>
    <x v="0"/>
    <s v="KMSS"/>
    <s v="Kachin"/>
    <x v="6"/>
    <s v="Lawa RC Church"/>
    <m/>
    <m/>
    <m/>
    <m/>
    <m/>
    <m/>
    <m/>
    <m/>
    <n v="40"/>
    <m/>
    <m/>
    <m/>
    <m/>
    <m/>
    <m/>
    <m/>
    <m/>
    <m/>
    <m/>
    <m/>
    <e v="#REF!"/>
    <e v="#REF!"/>
    <e v="#REF!"/>
    <e v="#REF!"/>
    <e v="#REF!"/>
    <e v="#REF!"/>
    <e v="#REF!"/>
    <e v="#REF!"/>
    <e v="#REF!"/>
    <e v="#REF!"/>
    <m/>
    <m/>
    <m/>
    <n v="0"/>
    <m/>
    <m/>
    <m/>
    <s v=""/>
    <m/>
  </r>
  <r>
    <x v="100"/>
    <x v="17"/>
    <x v="0"/>
    <s v="KMSS"/>
    <s v="Kachin"/>
    <x v="1"/>
    <s v="Tang Hpre RC"/>
    <m/>
    <n v="251"/>
    <m/>
    <m/>
    <m/>
    <m/>
    <m/>
    <m/>
    <n v="251"/>
    <m/>
    <m/>
    <m/>
    <m/>
    <m/>
    <m/>
    <m/>
    <m/>
    <m/>
    <m/>
    <m/>
    <e v="#REF!"/>
    <e v="#REF!"/>
    <e v="#REF!"/>
    <e v="#REF!"/>
    <e v="#REF!"/>
    <e v="#REF!"/>
    <e v="#REF!"/>
    <e v="#REF!"/>
    <e v="#REF!"/>
    <e v="#REF!"/>
    <m/>
    <m/>
    <m/>
    <n v="0"/>
    <m/>
    <m/>
    <m/>
    <s v=""/>
    <m/>
  </r>
  <r>
    <x v="100"/>
    <x v="17"/>
    <x v="0"/>
    <s v="KMSS"/>
    <s v="Kachin"/>
    <x v="1"/>
    <s v="Trinity"/>
    <m/>
    <n v="160"/>
    <m/>
    <m/>
    <m/>
    <m/>
    <m/>
    <m/>
    <n v="160"/>
    <m/>
    <m/>
    <m/>
    <m/>
    <m/>
    <m/>
    <m/>
    <m/>
    <m/>
    <m/>
    <m/>
    <e v="#REF!"/>
    <e v="#REF!"/>
    <e v="#REF!"/>
    <e v="#REF!"/>
    <e v="#REF!"/>
    <e v="#REF!"/>
    <e v="#REF!"/>
    <e v="#REF!"/>
    <e v="#REF!"/>
    <e v="#REF!"/>
    <m/>
    <m/>
    <m/>
    <n v="0"/>
    <m/>
    <m/>
    <m/>
    <s v=""/>
    <m/>
  </r>
  <r>
    <x v="100"/>
    <x v="17"/>
    <x v="0"/>
    <s v="KMSS"/>
    <s v="Kachin"/>
    <x v="12"/>
    <s v="Tanai RC Church-Kinsa Ra"/>
    <m/>
    <n v="101"/>
    <m/>
    <m/>
    <m/>
    <m/>
    <m/>
    <m/>
    <n v="101"/>
    <m/>
    <m/>
    <m/>
    <m/>
    <m/>
    <m/>
    <m/>
    <m/>
    <m/>
    <m/>
    <m/>
    <e v="#REF!"/>
    <e v="#REF!"/>
    <e v="#REF!"/>
    <e v="#REF!"/>
    <e v="#REF!"/>
    <e v="#REF!"/>
    <e v="#REF!"/>
    <e v="#REF!"/>
    <e v="#REF!"/>
    <e v="#REF!"/>
    <m/>
    <m/>
    <m/>
    <n v="0"/>
    <m/>
    <m/>
    <m/>
    <s v=""/>
    <m/>
  </r>
  <r>
    <x v="100"/>
    <x v="17"/>
    <x v="0"/>
    <s v="KMSS"/>
    <s v="Kachin"/>
    <x v="1"/>
    <s v="Jawmaswat, Naung Nan"/>
    <m/>
    <n v="86"/>
    <m/>
    <m/>
    <m/>
    <m/>
    <m/>
    <m/>
    <n v="86"/>
    <m/>
    <m/>
    <m/>
    <m/>
    <m/>
    <m/>
    <m/>
    <m/>
    <m/>
    <m/>
    <m/>
    <e v="#REF!"/>
    <e v="#REF!"/>
    <e v="#REF!"/>
    <e v="#REF!"/>
    <e v="#REF!"/>
    <e v="#REF!"/>
    <e v="#REF!"/>
    <e v="#REF!"/>
    <e v="#REF!"/>
    <e v="#REF!"/>
    <m/>
    <m/>
    <m/>
    <n v="0"/>
    <m/>
    <m/>
    <m/>
    <s v=""/>
    <m/>
  </r>
  <r>
    <x v="100"/>
    <x v="17"/>
    <x v="12"/>
    <m/>
    <s v="NSS"/>
    <x v="11"/>
    <s v="Lisu Church Namtu"/>
    <m/>
    <n v="101"/>
    <m/>
    <m/>
    <m/>
    <m/>
    <m/>
    <m/>
    <m/>
    <m/>
    <n v="101"/>
    <m/>
    <m/>
    <m/>
    <m/>
    <m/>
    <m/>
    <m/>
    <m/>
    <m/>
    <e v="#REF!"/>
    <e v="#REF!"/>
    <e v="#REF!"/>
    <e v="#REF!"/>
    <e v="#REF!"/>
    <e v="#REF!"/>
    <e v="#REF!"/>
    <e v="#REF!"/>
    <e v="#REF!"/>
    <e v="#REF!"/>
    <m/>
    <m/>
    <m/>
    <n v="0"/>
    <m/>
    <m/>
    <m/>
    <s v="MMR015CMP232"/>
    <m/>
  </r>
  <r>
    <x v="100"/>
    <x v="17"/>
    <x v="12"/>
    <m/>
    <s v="NSS"/>
    <x v="11"/>
    <s v="Nam Tu Baptist"/>
    <n v="1"/>
    <m/>
    <m/>
    <m/>
    <m/>
    <m/>
    <m/>
    <m/>
    <m/>
    <m/>
    <m/>
    <m/>
    <m/>
    <m/>
    <m/>
    <m/>
    <m/>
    <m/>
    <m/>
    <m/>
    <e v="#REF!"/>
    <e v="#REF!"/>
    <e v="#REF!"/>
    <e v="#REF!"/>
    <e v="#REF!"/>
    <e v="#REF!"/>
    <e v="#REF!"/>
    <e v="#REF!"/>
    <e v="#REF!"/>
    <e v="#REF!"/>
    <m/>
    <m/>
    <m/>
    <n v="0"/>
    <m/>
    <m/>
    <m/>
    <s v="MMR015CMP014"/>
    <m/>
  </r>
  <r>
    <x v="100"/>
    <x v="17"/>
    <x v="12"/>
    <m/>
    <s v="NSS"/>
    <x v="11"/>
    <s v="Kyu Sawt"/>
    <n v="1"/>
    <m/>
    <m/>
    <m/>
    <m/>
    <m/>
    <m/>
    <m/>
    <m/>
    <m/>
    <m/>
    <m/>
    <m/>
    <m/>
    <m/>
    <m/>
    <m/>
    <m/>
    <m/>
    <m/>
    <e v="#REF!"/>
    <e v="#REF!"/>
    <e v="#REF!"/>
    <e v="#REF!"/>
    <e v="#REF!"/>
    <e v="#REF!"/>
    <e v="#REF!"/>
    <e v="#REF!"/>
    <e v="#REF!"/>
    <e v="#REF!"/>
    <m/>
    <m/>
    <m/>
    <n v="0"/>
    <m/>
    <m/>
    <m/>
    <s v=""/>
    <m/>
  </r>
  <r>
    <x v="100"/>
    <x v="17"/>
    <x v="12"/>
    <m/>
    <s v="NSS"/>
    <x v="11"/>
    <s v="Kyu Sawt"/>
    <n v="1"/>
    <m/>
    <m/>
    <m/>
    <m/>
    <m/>
    <m/>
    <m/>
    <m/>
    <m/>
    <m/>
    <m/>
    <m/>
    <m/>
    <m/>
    <m/>
    <m/>
    <m/>
    <m/>
    <m/>
    <e v="#REF!"/>
    <e v="#REF!"/>
    <e v="#REF!"/>
    <e v="#REF!"/>
    <e v="#REF!"/>
    <e v="#REF!"/>
    <e v="#REF!"/>
    <e v="#REF!"/>
    <e v="#REF!"/>
    <e v="#REF!"/>
    <m/>
    <m/>
    <m/>
    <n v="0"/>
    <m/>
    <m/>
    <m/>
    <s v=""/>
    <m/>
  </r>
  <r>
    <x v="100"/>
    <x v="17"/>
    <x v="12"/>
    <m/>
    <s v="Kachin"/>
    <x v="2"/>
    <s v="Manwin  RC ( 1 )"/>
    <n v="1"/>
    <m/>
    <m/>
    <m/>
    <m/>
    <m/>
    <m/>
    <m/>
    <m/>
    <m/>
    <m/>
    <m/>
    <m/>
    <m/>
    <m/>
    <m/>
    <m/>
    <m/>
    <m/>
    <m/>
    <e v="#REF!"/>
    <e v="#REF!"/>
    <e v="#REF!"/>
    <e v="#REF!"/>
    <e v="#REF!"/>
    <e v="#REF!"/>
    <e v="#REF!"/>
    <e v="#REF!"/>
    <e v="#REF!"/>
    <e v="#REF!"/>
    <m/>
    <m/>
    <m/>
    <n v="0"/>
    <m/>
    <m/>
    <m/>
    <s v=""/>
    <m/>
  </r>
  <r>
    <x v="100"/>
    <x v="17"/>
    <x v="12"/>
    <m/>
    <s v="Kachin"/>
    <x v="2"/>
    <s v="Manwin  RC ( 1 )"/>
    <n v="1"/>
    <m/>
    <m/>
    <m/>
    <m/>
    <m/>
    <m/>
    <m/>
    <m/>
    <m/>
    <m/>
    <m/>
    <m/>
    <m/>
    <m/>
    <m/>
    <m/>
    <m/>
    <m/>
    <m/>
    <e v="#REF!"/>
    <e v="#REF!"/>
    <e v="#REF!"/>
    <e v="#REF!"/>
    <e v="#REF!"/>
    <e v="#REF!"/>
    <e v="#REF!"/>
    <e v="#REF!"/>
    <e v="#REF!"/>
    <e v="#REF!"/>
    <m/>
    <m/>
    <m/>
    <n v="0"/>
    <m/>
    <m/>
    <m/>
    <s v=""/>
    <m/>
  </r>
  <r>
    <x v="100"/>
    <x v="17"/>
    <x v="12"/>
    <m/>
    <s v="NSS"/>
    <x v="11"/>
    <s v="Nam Tu Baptist"/>
    <m/>
    <m/>
    <m/>
    <n v="1"/>
    <m/>
    <m/>
    <m/>
    <m/>
    <m/>
    <m/>
    <m/>
    <m/>
    <m/>
    <m/>
    <m/>
    <m/>
    <m/>
    <m/>
    <m/>
    <m/>
    <e v="#REF!"/>
    <e v="#REF!"/>
    <e v="#REF!"/>
    <e v="#REF!"/>
    <e v="#REF!"/>
    <e v="#REF!"/>
    <e v="#REF!"/>
    <e v="#REF!"/>
    <e v="#REF!"/>
    <e v="#REF!"/>
    <m/>
    <m/>
    <m/>
    <n v="0"/>
    <m/>
    <m/>
    <m/>
    <s v="MMR015CMP014"/>
    <m/>
  </r>
  <r>
    <x v="100"/>
    <x v="17"/>
    <x v="12"/>
    <m/>
    <s v="NSS"/>
    <x v="11"/>
    <s v="Lisu Church Namtu"/>
    <m/>
    <m/>
    <m/>
    <n v="1"/>
    <m/>
    <m/>
    <m/>
    <m/>
    <m/>
    <m/>
    <m/>
    <m/>
    <m/>
    <m/>
    <m/>
    <m/>
    <m/>
    <m/>
    <m/>
    <m/>
    <e v="#REF!"/>
    <e v="#REF!"/>
    <e v="#REF!"/>
    <e v="#REF!"/>
    <e v="#REF!"/>
    <e v="#REF!"/>
    <e v="#REF!"/>
    <e v="#REF!"/>
    <e v="#REF!"/>
    <e v="#REF!"/>
    <m/>
    <m/>
    <m/>
    <n v="0"/>
    <m/>
    <m/>
    <m/>
    <s v="MMR015CMP232"/>
    <m/>
  </r>
  <r>
    <x v="100"/>
    <x v="17"/>
    <x v="12"/>
    <m/>
    <s v="NSS"/>
    <x v="11"/>
    <s v="Kyu Sawt"/>
    <m/>
    <m/>
    <m/>
    <n v="1"/>
    <m/>
    <m/>
    <m/>
    <m/>
    <m/>
    <m/>
    <m/>
    <m/>
    <m/>
    <m/>
    <m/>
    <m/>
    <m/>
    <m/>
    <m/>
    <m/>
    <e v="#REF!"/>
    <e v="#REF!"/>
    <e v="#REF!"/>
    <e v="#REF!"/>
    <e v="#REF!"/>
    <e v="#REF!"/>
    <e v="#REF!"/>
    <e v="#REF!"/>
    <e v="#REF!"/>
    <e v="#REF!"/>
    <m/>
    <m/>
    <m/>
    <n v="0"/>
    <m/>
    <m/>
    <m/>
    <s v=""/>
    <m/>
  </r>
  <r>
    <x v="100"/>
    <x v="17"/>
    <x v="2"/>
    <m/>
    <s v="NSS"/>
    <x v="20"/>
    <s v="Mai Yu Lay"/>
    <m/>
    <m/>
    <m/>
    <m/>
    <m/>
    <m/>
    <n v="15"/>
    <m/>
    <m/>
    <m/>
    <m/>
    <n v="49"/>
    <m/>
    <m/>
    <m/>
    <m/>
    <m/>
    <m/>
    <n v="32"/>
    <m/>
    <e v="#REF!"/>
    <e v="#REF!"/>
    <e v="#REF!"/>
    <e v="#REF!"/>
    <e v="#REF!"/>
    <e v="#REF!"/>
    <e v="#REF!"/>
    <e v="#REF!"/>
    <e v="#REF!"/>
    <e v="#REF!"/>
    <m/>
    <m/>
    <m/>
    <n v="0"/>
    <m/>
    <m/>
    <m/>
    <s v=""/>
    <m/>
  </r>
  <r>
    <x v="100"/>
    <x v="17"/>
    <x v="2"/>
    <m/>
    <s v="N-Shan"/>
    <x v="21"/>
    <s v="Mong Wee Shan"/>
    <m/>
    <m/>
    <m/>
    <m/>
    <m/>
    <m/>
    <n v="32"/>
    <m/>
    <m/>
    <m/>
    <m/>
    <n v="109"/>
    <m/>
    <m/>
    <m/>
    <m/>
    <m/>
    <m/>
    <m/>
    <m/>
    <e v="#REF!"/>
    <e v="#REF!"/>
    <e v="#REF!"/>
    <e v="#REF!"/>
    <e v="#REF!"/>
    <e v="#REF!"/>
    <e v="#REF!"/>
    <e v="#REF!"/>
    <e v="#REF!"/>
    <e v="#REF!"/>
    <m/>
    <m/>
    <m/>
    <n v="0"/>
    <m/>
    <m/>
    <m/>
    <s v="MMR015CMP224"/>
    <m/>
  </r>
  <r>
    <x v="100"/>
    <x v="17"/>
    <x v="2"/>
    <m/>
    <s v="N-Shan"/>
    <x v="21"/>
    <s v="Nam Hkam - Nay Win Ni (Palawng)"/>
    <m/>
    <m/>
    <m/>
    <m/>
    <m/>
    <m/>
    <n v="26"/>
    <m/>
    <m/>
    <m/>
    <m/>
    <n v="26"/>
    <m/>
    <m/>
    <m/>
    <m/>
    <m/>
    <m/>
    <m/>
    <m/>
    <e v="#REF!"/>
    <e v="#REF!"/>
    <e v="#REF!"/>
    <e v="#REF!"/>
    <e v="#REF!"/>
    <e v="#REF!"/>
    <e v="#REF!"/>
    <e v="#REF!"/>
    <e v="#REF!"/>
    <e v="#REF!"/>
    <m/>
    <m/>
    <m/>
    <n v="0"/>
    <m/>
    <m/>
    <m/>
    <s v="MMR015CMP004"/>
    <m/>
  </r>
  <r>
    <x v="100"/>
    <x v="17"/>
    <x v="0"/>
    <m/>
    <s v="Kachin"/>
    <x v="1"/>
    <s v="Tat Con COC"/>
    <m/>
    <m/>
    <m/>
    <n v="2"/>
    <m/>
    <n v="13"/>
    <n v="2"/>
    <n v="13"/>
    <n v="2"/>
    <m/>
    <n v="2"/>
    <n v="17"/>
    <m/>
    <m/>
    <m/>
    <m/>
    <n v="2"/>
    <m/>
    <m/>
    <m/>
    <e v="#REF!"/>
    <e v="#REF!"/>
    <e v="#REF!"/>
    <e v="#REF!"/>
    <e v="#REF!"/>
    <e v="#REF!"/>
    <e v="#REF!"/>
    <e v="#REF!"/>
    <e v="#REF!"/>
    <e v="#REF!"/>
    <m/>
    <m/>
    <m/>
    <n v="0"/>
    <m/>
    <m/>
    <m/>
    <s v=""/>
    <m/>
  </r>
  <r>
    <x v="100"/>
    <x v="17"/>
    <x v="0"/>
    <m/>
    <s v="Kachin"/>
    <x v="0"/>
    <s v="Maina KBC"/>
    <m/>
    <m/>
    <m/>
    <n v="3"/>
    <m/>
    <m/>
    <n v="3"/>
    <m/>
    <n v="3"/>
    <m/>
    <n v="3"/>
    <m/>
    <m/>
    <m/>
    <m/>
    <m/>
    <n v="3"/>
    <m/>
    <m/>
    <m/>
    <e v="#REF!"/>
    <e v="#REF!"/>
    <e v="#REF!"/>
    <e v="#REF!"/>
    <e v="#REF!"/>
    <e v="#REF!"/>
    <e v="#REF!"/>
    <e v="#REF!"/>
    <e v="#REF!"/>
    <e v="#REF!"/>
    <m/>
    <m/>
    <m/>
    <n v="0"/>
    <m/>
    <m/>
    <m/>
    <s v=""/>
    <m/>
  </r>
  <r>
    <x v="100"/>
    <x v="17"/>
    <x v="0"/>
    <m/>
    <s v="Kachin"/>
    <x v="1"/>
    <s v="Palana RC"/>
    <m/>
    <m/>
    <m/>
    <n v="4"/>
    <m/>
    <n v="10"/>
    <n v="4"/>
    <n v="13"/>
    <n v="4"/>
    <m/>
    <n v="4"/>
    <n v="12"/>
    <m/>
    <m/>
    <m/>
    <m/>
    <n v="4"/>
    <m/>
    <m/>
    <m/>
    <e v="#REF!"/>
    <e v="#REF!"/>
    <e v="#REF!"/>
    <e v="#REF!"/>
    <e v="#REF!"/>
    <e v="#REF!"/>
    <e v="#REF!"/>
    <e v="#REF!"/>
    <e v="#REF!"/>
    <e v="#REF!"/>
    <m/>
    <m/>
    <m/>
    <n v="0"/>
    <m/>
    <m/>
    <m/>
    <s v=""/>
    <m/>
  </r>
  <r>
    <x v="100"/>
    <x v="17"/>
    <x v="0"/>
    <m/>
    <s v="Kachin"/>
    <x v="0"/>
    <s v="Maina KBC"/>
    <m/>
    <m/>
    <m/>
    <n v="24"/>
    <m/>
    <n v="52"/>
    <n v="24"/>
    <n v="52"/>
    <n v="24"/>
    <m/>
    <n v="24"/>
    <n v="89"/>
    <m/>
    <m/>
    <m/>
    <m/>
    <n v="24"/>
    <m/>
    <m/>
    <m/>
    <e v="#REF!"/>
    <e v="#REF!"/>
    <e v="#REF!"/>
    <e v="#REF!"/>
    <e v="#REF!"/>
    <e v="#REF!"/>
    <e v="#REF!"/>
    <e v="#REF!"/>
    <e v="#REF!"/>
    <e v="#REF!"/>
    <m/>
    <m/>
    <m/>
    <n v="0"/>
    <m/>
    <m/>
    <m/>
    <s v=""/>
    <m/>
  </r>
</pivotCacheRecords>
</file>

<file path=xl/pivotCache/pivotCacheRecords5.xml><?xml version="1.0" encoding="utf-8"?>
<pivotCacheRecords xmlns="http://schemas.openxmlformats.org/spreadsheetml/2006/main" xmlns:r="http://schemas.openxmlformats.org/officeDocument/2006/relationships" count="293">
  <r>
    <x v="0"/>
    <x v="0"/>
    <s v="MMR001"/>
    <s v="Myitkyina"/>
    <s v="MMR001D001"/>
    <x v="0"/>
    <s v="MMR001001"/>
    <s v="Myitkyina Town"/>
    <s v="MMR001001701"/>
    <s v="Tat Kone Ward"/>
    <s v="MMR001001701520"/>
    <x v="0"/>
    <x v="0"/>
    <x v="0"/>
    <n v="25.415482000000001"/>
    <n v="0"/>
    <n v="73"/>
    <n v="406"/>
    <n v="5.5616438356164384"/>
    <x v="0"/>
    <x v="0"/>
    <s v="Camp"/>
    <x v="0"/>
    <x v="0"/>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6"/>
    <n v="4.4179104477611943"/>
    <x v="0"/>
    <x v="0"/>
    <s v="Camp"/>
    <x v="0"/>
    <x v="0"/>
    <x v="0"/>
    <s v="IP"/>
    <d v="2018-05-15T00:00:00"/>
    <s v="10/May/2018: Population update. Data source: KBC, 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2"/>
    <n v="174"/>
    <n v="5.4375"/>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7"/>
    <n v="31"/>
    <n v="4.4285714285714288"/>
    <x v="0"/>
    <x v="0"/>
    <s v="Camp Like setting"/>
    <x v="0"/>
    <x v="2"/>
    <x v="1"/>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1"/>
    <n v="5.2391304347826084"/>
    <x v="0"/>
    <x v="0"/>
    <s v="Camp"/>
    <x v="0"/>
    <x v="3"/>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8"/>
    <n v="569"/>
    <n v="4.8220338983050848"/>
    <x v="0"/>
    <x v="0"/>
    <s v="Camp"/>
    <x v="0"/>
    <x v="2"/>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4"/>
    <n v="4.9565217391304346"/>
    <x v="0"/>
    <x v="0"/>
    <s v="Camp"/>
    <x v="0"/>
    <x v="4"/>
    <x v="2"/>
    <s v="IP"/>
    <d v="2018-05-15T00:00:00"/>
    <s v="30/Apr/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1"/>
    <n v="5.615384615384615"/>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s v="Camp"/>
    <x v="0"/>
    <x v="0"/>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4"/>
    <n v="197"/>
    <n v="4.4772727272727275"/>
    <x v="0"/>
    <x v="0"/>
    <s v="Camp"/>
    <x v="0"/>
    <x v="4"/>
    <x v="0"/>
    <s v="IP"/>
    <d v="2018-05-15T00:00:00"/>
    <s v="10/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3"/>
    <n v="5.0942028985507246"/>
    <x v="0"/>
    <x v="0"/>
    <s v="Camp"/>
    <x v="0"/>
    <x v="0"/>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2"/>
    <n v="546"/>
    <n v="5.3529411764705879"/>
    <x v="0"/>
    <x v="0"/>
    <s v="Camp"/>
    <x v="0"/>
    <x v="5"/>
    <x v="0"/>
    <s v="IP"/>
    <d v="2018-05-15T00:00:00"/>
    <s v="10/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1"/>
    <n v="302"/>
    <n v="4.9508196721311473"/>
    <x v="0"/>
    <x v="0"/>
    <s v="Camp"/>
    <x v="0"/>
    <x v="2"/>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s v="Camp"/>
    <x v="0"/>
    <x v="3"/>
    <x v="2"/>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8"/>
    <n v="5.6180904522613062"/>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115"/>
    <n v="562"/>
    <n v="4.8869565217391306"/>
    <x v="0"/>
    <x v="0"/>
    <s v="Camp"/>
    <x v="0"/>
    <x v="1"/>
    <x v="3"/>
    <s v="IP"/>
    <d v="2018-05-10T00:00:00"/>
    <s v="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4"/>
    <n v="97"/>
    <n v="4.041666666666667"/>
    <x v="0"/>
    <x v="0"/>
    <s v="Camp"/>
    <x v="1"/>
    <x v="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14"/>
    <n v="76"/>
    <n v="5.4285714285714288"/>
    <x v="0"/>
    <x v="0"/>
    <s v="Camp"/>
    <x v="1"/>
    <x v="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s v="Camp"/>
    <x v="0"/>
    <x v="6"/>
    <x v="2"/>
    <s v="IP"/>
    <d v="2017-06-29T00:00:00"/>
    <s v="Closed july 2017"/>
    <s v="Myitkyina Town"/>
    <n v="1.7877148351104664"/>
    <n v="1"/>
  </r>
  <r>
    <x v="0"/>
    <x v="0"/>
    <s v="MMR001"/>
    <s v="Myitkyina"/>
    <s v="MMR001D001"/>
    <x v="0"/>
    <s v="MMR001001"/>
    <s v="Myitkyina Town"/>
    <s v="MMR001001701"/>
    <s v="Tat Kone Ward"/>
    <s v="MMR001001701520"/>
    <x v="20"/>
    <x v="20"/>
    <x v="20"/>
    <n v="25.423209"/>
    <n v="0"/>
    <n v="57"/>
    <n v="281"/>
    <n v="4.9298245614035086"/>
    <x v="0"/>
    <x v="0"/>
    <s v="Camp"/>
    <x v="0"/>
    <x v="6"/>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58"/>
    <n v="308"/>
    <n v="5.3103448275862073"/>
    <x v="0"/>
    <x v="0"/>
    <s v="Camp"/>
    <x v="0"/>
    <x v="4"/>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3"/>
    <n v="321"/>
    <n v="5.0952380952380949"/>
    <x v="0"/>
    <x v="0"/>
    <s v="Camp"/>
    <x v="0"/>
    <x v="0"/>
    <x v="0"/>
    <s v="IP"/>
    <d v="2018-05-15T00:00:00"/>
    <s v="10/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Waingmaw Town"/>
    <s v="MMR001002701"/>
    <s v="No (4) Ward"/>
    <s v="MMR001002701504"/>
    <x v="23"/>
    <x v="23"/>
    <x v="23"/>
    <n v="25.350809000000002"/>
    <n v="0"/>
    <n v="92"/>
    <n v="499"/>
    <n v="5.4239130434782608"/>
    <x v="0"/>
    <x v="0"/>
    <s v="Camp"/>
    <x v="0"/>
    <x v="7"/>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0"/>
    <n v="176"/>
    <n v="5.8666666666666663"/>
    <x v="0"/>
    <x v="0"/>
    <s v="Camp"/>
    <x v="0"/>
    <x v="8"/>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103"/>
    <n v="504"/>
    <n v="4.8932038834951452"/>
    <x v="0"/>
    <x v="0"/>
    <s v="Camp"/>
    <x v="1"/>
    <x v="0"/>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285"/>
    <n v="1508"/>
    <n v="5.2912280701754382"/>
    <x v="0"/>
    <x v="0"/>
    <s v="Camp"/>
    <x v="0"/>
    <x v="9"/>
    <x v="3"/>
    <s v="IP"/>
    <d v="2018-05-10T00:00:00"/>
    <s v="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29"/>
    <n v="160"/>
    <n v="5.5172413793103452"/>
    <x v="0"/>
    <x v="0"/>
    <s v="Camp"/>
    <x v="0"/>
    <x v="0"/>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39"/>
    <n v="1975"/>
    <n v="5.8259587020648969"/>
    <x v="0"/>
    <x v="0"/>
    <s v="Camp"/>
    <x v="1"/>
    <x v="10"/>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9"/>
    <n v="483"/>
    <n v="4.0588235294117645"/>
    <x v="0"/>
    <x v="0"/>
    <s v="Camp"/>
    <x v="0"/>
    <x v="1"/>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20"/>
    <n v="86"/>
    <n v="4.3"/>
    <x v="0"/>
    <x v="0"/>
    <s v="Camp"/>
    <x v="1"/>
    <x v="8"/>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s v="Camp"/>
    <x v="2"/>
    <x v="11"/>
    <x v="4"/>
    <m/>
    <m/>
    <s v=" "/>
    <s v=""/>
    <s v=""/>
    <s v=""/>
  </r>
  <r>
    <x v="1"/>
    <x v="0"/>
    <s v="MMR001"/>
    <s v="Myitkyina"/>
    <s v="MMR001D001"/>
    <x v="1"/>
    <s v="MMR001002"/>
    <s v="Hkat Shu"/>
    <s v="MMR001002003"/>
    <s v="Hkat Shu"/>
    <n v="165735"/>
    <x v="32"/>
    <x v="32"/>
    <x v="32"/>
    <n v="25.328987000000001"/>
    <m/>
    <m/>
    <m/>
    <s v="NA"/>
    <x v="0"/>
    <x v="0"/>
    <s v="Camp"/>
    <x v="2"/>
    <x v="11"/>
    <x v="4"/>
    <m/>
    <m/>
    <s v=" "/>
    <s v=""/>
    <s v=""/>
    <s v=""/>
  </r>
  <r>
    <x v="1"/>
    <x v="0"/>
    <s v="MMR001"/>
    <s v="Myitkyina"/>
    <s v="MMR001D001"/>
    <x v="1"/>
    <s v="MMR001002"/>
    <s v="Waingmaw Town"/>
    <s v="MMR001002701"/>
    <s v="No (2) Ward"/>
    <s v="MMR001002701502"/>
    <x v="33"/>
    <x v="33"/>
    <x v="33"/>
    <n v="25.355841999999999"/>
    <n v="0"/>
    <m/>
    <m/>
    <s v="NA"/>
    <x v="0"/>
    <x v="0"/>
    <s v="Boarding School"/>
    <x v="0"/>
    <x v="12"/>
    <x v="0"/>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2"/>
    <n v="4.1739130434782608"/>
    <x v="0"/>
    <x v="0"/>
    <s v="Camp"/>
    <x v="0"/>
    <x v="12"/>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9"/>
    <n v="290"/>
    <n v="4.2028985507246377"/>
    <x v="0"/>
    <x v="0"/>
    <s v="Camp"/>
    <x v="0"/>
    <x v="12"/>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47"/>
    <n v="208"/>
    <n v="4.4255319148936172"/>
    <x v="0"/>
    <x v="0"/>
    <s v="Camp"/>
    <x v="0"/>
    <x v="13"/>
    <x v="0"/>
    <s v="IP"/>
    <d v="2018-05-15T00:00:00"/>
    <s v="10/May/2018: Population update. Data source: KBC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0"/>
    <n v="2680"/>
    <n v="5.2549019607843137"/>
    <x v="0"/>
    <x v="0"/>
    <s v="Camp"/>
    <x v="1"/>
    <x v="14"/>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81"/>
    <n v="1001"/>
    <n v="5.5303867403314921"/>
    <x v="0"/>
    <x v="0"/>
    <s v="Camp"/>
    <x v="1"/>
    <x v="12"/>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07"/>
    <n v="559"/>
    <n v="5.2242990654205608"/>
    <x v="0"/>
    <x v="0"/>
    <s v="Camp"/>
    <x v="0"/>
    <x v="15"/>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0"/>
    <n v="830"/>
    <n v="5.1875"/>
    <x v="1"/>
    <x v="0"/>
    <s v="Camp"/>
    <x v="3"/>
    <x v="8"/>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s v="Camp"/>
    <x v="2"/>
    <x v="11"/>
    <x v="4"/>
    <m/>
    <m/>
    <s v=" "/>
    <s v=""/>
    <s v=""/>
    <s v=""/>
  </r>
  <r>
    <x v="1"/>
    <x v="0"/>
    <s v="MMR001"/>
    <s v="Myitkyina"/>
    <s v="MMR001D001"/>
    <x v="2"/>
    <s v="MMR001005"/>
    <s v="Lang Jaw (Pang War Sub-township)"/>
    <s v="MMR001005022"/>
    <s v="Lang Jaw"/>
    <n v="166337"/>
    <x v="42"/>
    <x v="42"/>
    <x v="41"/>
    <n v="25.708763000000001"/>
    <m/>
    <m/>
    <m/>
    <s v="NA"/>
    <x v="0"/>
    <x v="0"/>
    <s v="Host Families"/>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s v="Camp"/>
    <x v="1"/>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41"/>
    <n v="4010"/>
    <n v="6.25585023400936"/>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s v="Camp"/>
    <x v="2"/>
    <x v="11"/>
    <x v="4"/>
    <s v="IP"/>
    <d v="2014-01-22T00:00:00"/>
    <s v="Closed: Source UNHCR-Bhamo"/>
    <s v=""/>
    <s v=""/>
    <s v=""/>
  </r>
  <r>
    <x v="0"/>
    <x v="0"/>
    <s v="MMR001"/>
    <s v="Bhamo"/>
    <s v="MMR001D003"/>
    <x v="3"/>
    <s v="MMR001010"/>
    <s v="Moe Hping"/>
    <s v="MMR001010009"/>
    <s v="Moe Hping"/>
    <n v="166836"/>
    <x v="46"/>
    <x v="46"/>
    <x v="44"/>
    <n v="24.2631743589744"/>
    <n v="0"/>
    <n v="129"/>
    <n v="742"/>
    <n v="5.7519379844961236"/>
    <x v="0"/>
    <x v="0"/>
    <s v="Camp"/>
    <x v="0"/>
    <x v="0"/>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57"/>
    <n v="1278"/>
    <n v="4.972762645914397"/>
    <x v="0"/>
    <x v="0"/>
    <s v="Camp"/>
    <x v="0"/>
    <x v="12"/>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4"/>
    <n v="59"/>
    <n v="4.2142857142857144"/>
    <x v="0"/>
    <x v="0"/>
    <s v="Camp"/>
    <x v="0"/>
    <x v="16"/>
    <x v="2"/>
    <s v="IP"/>
    <d v="2018-05-15T00:00:00"/>
    <s v="30/Apr/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1"/>
    <n v="227"/>
    <n v="5.5365853658536581"/>
    <x v="0"/>
    <x v="0"/>
    <s v="Camp"/>
    <x v="0"/>
    <x v="13"/>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3"/>
    <s v="MMR001010"/>
    <s v="Han Te"/>
    <s v="MMR001010024"/>
    <s v="Han Te"/>
    <n v="166851"/>
    <x v="50"/>
    <x v="50"/>
    <x v="48"/>
    <n v="24.24953"/>
    <n v="0"/>
    <n v="14"/>
    <n v="77"/>
    <n v="5.5"/>
    <x v="0"/>
    <x v="0"/>
    <s v="Camp"/>
    <x v="0"/>
    <x v="17"/>
    <x v="2"/>
    <s v="IP"/>
    <d v="2018-05-15T00:00:00"/>
    <s v="15/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3"/>
    <s v="MMR001010"/>
    <s v="Nam Hlaing"/>
    <s v="MMR001010015"/>
    <s v="Nam Hlaing"/>
    <n v="166844"/>
    <x v="51"/>
    <x v="51"/>
    <x v="49"/>
    <n v="24.32638"/>
    <m/>
    <n v="15"/>
    <n v="68"/>
    <n v="4.5333333333333332"/>
    <x v="0"/>
    <x v="0"/>
    <s v="Camp"/>
    <x v="0"/>
    <x v="12"/>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3"/>
    <s v="MMR001010"/>
    <s v="Bhamo Town"/>
    <s v="MMR001010701"/>
    <s v="Shwe Kyee Nar Ward"/>
    <s v="MMR001010701513"/>
    <x v="52"/>
    <x v="52"/>
    <x v="50"/>
    <n v="24.29138"/>
    <n v="0"/>
    <n v="20"/>
    <n v="95"/>
    <n v="4.75"/>
    <x v="0"/>
    <x v="0"/>
    <s v="Camp"/>
    <x v="0"/>
    <x v="8"/>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15"/>
    <n v="1898"/>
    <n v="4.5734939759036148"/>
    <x v="0"/>
    <x v="0"/>
    <s v="Camp"/>
    <x v="0"/>
    <x v="0"/>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1"/>
    <s v="MMR015"/>
    <s v="Muse"/>
    <s v="MMR015D002"/>
    <x v="5"/>
    <s v="MMR015010"/>
    <s v="Nawng Hkam"/>
    <s v="MMR015010010"/>
    <s v="Nawng Hkam"/>
    <n v="208353"/>
    <x v="54"/>
    <x v="54"/>
    <x v="31"/>
    <m/>
    <m/>
    <m/>
    <m/>
    <s v="NA"/>
    <x v="1"/>
    <x v="0"/>
    <s v="Camp"/>
    <x v="2"/>
    <x v="11"/>
    <x v="4"/>
    <s v="IP"/>
    <d v="2014-03-03T00:00:00"/>
    <s v="Closed. Same with (Nam Hkam Catholic Church  St. Thomas II)"/>
    <s v=""/>
    <s v=""/>
    <s v=""/>
  </r>
  <r>
    <x v="1"/>
    <x v="0"/>
    <s v="MMR001"/>
    <s v="Bhamo"/>
    <s v="MMR001D003"/>
    <x v="4"/>
    <s v="MMR001012"/>
    <s v="Momauk Town"/>
    <s v="MMR001012701"/>
    <s v="Kyay Nan Waing Ward"/>
    <s v="MMR001012701503"/>
    <x v="55"/>
    <x v="55"/>
    <x v="52"/>
    <n v="24.25177"/>
    <n v="0"/>
    <m/>
    <m/>
    <s v="NA"/>
    <x v="0"/>
    <x v="0"/>
    <s v="Camp"/>
    <x v="0"/>
    <x v="2"/>
    <x v="5"/>
    <s v="IP"/>
    <d v="2014-11-28T00:00:00"/>
    <s v="Closed. Population relocated to Man Bung Catholic Compound (MMR001CMP062)"/>
    <s v=""/>
    <s v=""/>
    <s v=""/>
  </r>
  <r>
    <x v="0"/>
    <x v="1"/>
    <s v="MMR015"/>
    <s v="Muse"/>
    <s v="MMR015D002"/>
    <x v="5"/>
    <s v="MMR015010"/>
    <s v="Nawng Hkam"/>
    <s v="MMR015010010"/>
    <s v="Nawng Hkam"/>
    <n v="208353"/>
    <x v="56"/>
    <x v="56"/>
    <x v="53"/>
    <n v="23.828150000000001"/>
    <n v="751.8"/>
    <n v="44"/>
    <n v="223"/>
    <n v="5.0681818181818183"/>
    <x v="0"/>
    <x v="0"/>
    <s v="Camp"/>
    <x v="0"/>
    <x v="13"/>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4"/>
    <s v="MMR001012"/>
    <s v="Momauk Town"/>
    <s v="MMR001012701"/>
    <s v="Ah Lin Kawng Ward"/>
    <s v="MMR001012701502"/>
    <x v="57"/>
    <x v="57"/>
    <x v="54"/>
    <n v="24.251860000000001"/>
    <n v="0"/>
    <m/>
    <m/>
    <s v="NA"/>
    <x v="0"/>
    <x v="0"/>
    <s v="Camp"/>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8"/>
    <x v="58"/>
    <x v="55"/>
    <n v="24.253769999999999"/>
    <n v="0"/>
    <m/>
    <m/>
    <s v="NA"/>
    <x v="0"/>
    <x v="0"/>
    <s v="Camp"/>
    <x v="0"/>
    <x v="3"/>
    <x v="2"/>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9"/>
    <x v="59"/>
    <x v="56"/>
    <n v="24.492493"/>
    <m/>
    <m/>
    <m/>
    <s v="NA"/>
    <x v="0"/>
    <x v="0"/>
    <s v="Host Families"/>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60"/>
    <x v="60"/>
    <x v="57"/>
    <n v="24.404876999999999"/>
    <m/>
    <n v="47"/>
    <n v="153"/>
    <n v="3.2553191489361701"/>
    <x v="0"/>
    <x v="0"/>
    <s v="Host Families"/>
    <x v="1"/>
    <x v="11"/>
    <x v="1"/>
    <s v="RRD"/>
    <d v="2017-12-21T00:00:00"/>
    <s v="21/Dec/2017: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61"/>
    <x v="61"/>
    <x v="58"/>
    <n v="24.245100000000001"/>
    <m/>
    <n v="281"/>
    <n v="1256"/>
    <n v="4.4697508896797151"/>
    <x v="0"/>
    <x v="0"/>
    <s v="Camp"/>
    <x v="0"/>
    <x v="8"/>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2"/>
    <x v="62"/>
    <x v="59"/>
    <n v="24.410008999999999"/>
    <m/>
    <m/>
    <m/>
    <s v="NA"/>
    <x v="0"/>
    <x v="0"/>
    <s v="Host Families"/>
    <x v="1"/>
    <x v="11"/>
    <x v="4"/>
    <s v="RRD"/>
    <d v="2017-07-11T00:00:00"/>
    <s v="11/Jul/17: Change status to Close as no update available."/>
    <s v="Momauk Town"/>
    <n v="17.282528446236295"/>
    <n v="4"/>
  </r>
  <r>
    <x v="1"/>
    <x v="0"/>
    <s v="MMR001"/>
    <s v="Bhamo"/>
    <s v="MMR001D003"/>
    <x v="4"/>
    <s v="MMR001012"/>
    <s v="Maing Khat"/>
    <s v="MMR001012020"/>
    <s v="Maing Khat"/>
    <n v="167078"/>
    <x v="63"/>
    <x v="63"/>
    <x v="60"/>
    <n v="24.441697000000001"/>
    <m/>
    <m/>
    <m/>
    <s v="NA"/>
    <x v="0"/>
    <x v="0"/>
    <s v="Host Families"/>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4"/>
    <x v="64"/>
    <x v="61"/>
    <n v="24.630859999999998"/>
    <m/>
    <m/>
    <m/>
    <s v="NA"/>
    <x v="0"/>
    <x v="0"/>
    <s v="Host Families"/>
    <x v="1"/>
    <x v="11"/>
    <x v="4"/>
    <s v="RRD"/>
    <d v="2017-07-11T00:00:00"/>
    <s v="11/Jul/2017: Change status to Close as no update available since Jan/2017._x000a_Update from OCHA Data (2 Jan 2014)"/>
    <s v="Dawthponeyan  Town"/>
    <n v="3.6887624513681017"/>
    <n v="1"/>
  </r>
  <r>
    <x v="0"/>
    <x v="0"/>
    <s v="MMR001"/>
    <s v="Bhamo"/>
    <s v="MMR001D003"/>
    <x v="6"/>
    <s v="MMR001013"/>
    <s v="Mansi Town"/>
    <s v="MMR001013701"/>
    <s v="Kawng Yar Ward"/>
    <s v="MMR001013701504"/>
    <x v="65"/>
    <x v="65"/>
    <x v="62"/>
    <n v="24.129059999999999"/>
    <n v="0"/>
    <n v="185"/>
    <n v="830"/>
    <n v="4.4864864864864868"/>
    <x v="0"/>
    <x v="0"/>
    <s v="Camp"/>
    <x v="0"/>
    <x v="18"/>
    <x v="0"/>
    <s v="IP"/>
    <d v="2018-05-15T00:00:00"/>
    <s v="10/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7"/>
    <s v="MMR001011"/>
    <s v="Shwegu Town"/>
    <s v="MMR001011701"/>
    <s v="Shwegu Town"/>
    <s v="MMR001011701504"/>
    <x v="66"/>
    <x v="66"/>
    <x v="63"/>
    <n v="24.200361000000001"/>
    <n v="0"/>
    <n v="88"/>
    <n v="330"/>
    <n v="3.75"/>
    <x v="0"/>
    <x v="0"/>
    <s v="Camp"/>
    <x v="0"/>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7"/>
    <s v="MMR001011"/>
    <s v="Shwegu Town"/>
    <s v="MMR001011701"/>
    <s v="Shwegu Town"/>
    <s v="MMR001011701504"/>
    <x v="67"/>
    <x v="67"/>
    <x v="63"/>
    <n v="24.200367"/>
    <m/>
    <n v="46"/>
    <n v="199"/>
    <n v="4.3260869565217392"/>
    <x v="0"/>
    <x v="0"/>
    <s v="Camp"/>
    <x v="0"/>
    <x v="1"/>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8"/>
    <x v="68"/>
    <x v="64"/>
    <n v="24.205417000000001"/>
    <m/>
    <n v="129"/>
    <n v="640"/>
    <n v="4.9612403100775193"/>
    <x v="0"/>
    <x v="0"/>
    <s v="Camp"/>
    <x v="0"/>
    <x v="12"/>
    <x v="5"/>
    <s v="IP"/>
    <d v="2018-05-10T00:00:00"/>
    <s v="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9"/>
    <x v="69"/>
    <x v="65"/>
    <n v="24.200433"/>
    <n v="0"/>
    <n v="203"/>
    <n v="1138"/>
    <n v="5.6059113300492607"/>
    <x v="0"/>
    <x v="0"/>
    <s v="Camp"/>
    <x v="0"/>
    <x v="6"/>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70"/>
    <x v="70"/>
    <x v="66"/>
    <n v="24.200972"/>
    <m/>
    <n v="40"/>
    <n v="240"/>
    <n v="6"/>
    <x v="0"/>
    <x v="0"/>
    <s v="Camp"/>
    <x v="0"/>
    <x v="8"/>
    <x v="0"/>
    <s v="IP"/>
    <d v="2018-05-15T00:00:00"/>
    <s v="10/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71"/>
    <x v="71"/>
    <x v="67"/>
    <n v="24.205417000000001"/>
    <n v="0"/>
    <n v="48"/>
    <n v="293"/>
    <n v="6.104166666666667"/>
    <x v="0"/>
    <x v="0"/>
    <s v="Camp"/>
    <x v="0"/>
    <x v="17"/>
    <x v="0"/>
    <s v="IP"/>
    <d v="2018-05-15T00:00:00"/>
    <s v="10/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2"/>
    <x v="72"/>
    <x v="68"/>
    <n v="24.207332999999998"/>
    <n v="0"/>
    <n v="43"/>
    <n v="269"/>
    <n v="6.2558139534883717"/>
    <x v="0"/>
    <x v="0"/>
    <s v="Camp"/>
    <x v="0"/>
    <x v="17"/>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8"/>
    <s v="MMR001018"/>
    <s v="La Ja Ga"/>
    <s v="MMR001018021"/>
    <s v="La Ja"/>
    <n v="168236"/>
    <x v="73"/>
    <x v="73"/>
    <x v="69"/>
    <n v="26.890058"/>
    <n v="1393"/>
    <m/>
    <m/>
    <s v="NA"/>
    <x v="0"/>
    <x v="0"/>
    <s v="Camp"/>
    <x v="1"/>
    <x v="11"/>
    <x v="4"/>
    <s v="RRD"/>
    <d v="2017-02-02T00:00:00"/>
    <s v="Closed Camp_x000a_Update data from OCHA IDPs List"/>
    <s v="Khaunglanhpu Town"/>
    <n v="28.422357500443528"/>
    <n v="6"/>
  </r>
  <r>
    <x v="0"/>
    <x v="0"/>
    <s v="MMR001"/>
    <s v="Puta-O"/>
    <s v="MMR001D004"/>
    <x v="9"/>
    <s v="MMR001014"/>
    <s v="Puta-O Town"/>
    <s v="MMR001014701"/>
    <s v="Doke Tan Ward"/>
    <s v="MMR001014701509"/>
    <x v="74"/>
    <x v="74"/>
    <x v="70"/>
    <n v="27.311699999999998"/>
    <n v="476.7"/>
    <n v="14"/>
    <n v="75"/>
    <n v="5.3571428571428568"/>
    <x v="0"/>
    <x v="0"/>
    <s v="Host Families"/>
    <x v="1"/>
    <x v="11"/>
    <x v="1"/>
    <s v="IP"/>
    <d v="2017-05-19T00:00:00"/>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5"/>
    <x v="75"/>
    <x v="71"/>
    <n v="25.296579999999999"/>
    <n v="0"/>
    <n v="16"/>
    <n v="79"/>
    <n v="4.9375"/>
    <x v="0"/>
    <x v="0"/>
    <s v="Camp"/>
    <x v="0"/>
    <x v="8"/>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6"/>
    <x v="76"/>
    <x v="72"/>
    <n v="25.305669999999999"/>
    <n v="470"/>
    <n v="13"/>
    <n v="70"/>
    <n v="5.384615384615385"/>
    <x v="0"/>
    <x v="0"/>
    <s v="Camp"/>
    <x v="0"/>
    <x v="8"/>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7"/>
    <x v="77"/>
    <x v="73"/>
    <n v="25.30442"/>
    <n v="100"/>
    <n v="10"/>
    <n v="41"/>
    <n v="4.0999999999999996"/>
    <x v="0"/>
    <x v="0"/>
    <s v="Camp"/>
    <x v="0"/>
    <x v="19"/>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1"/>
    <s v="MMR001007"/>
    <s v="Mohnyin Town"/>
    <s v="MMR001007701"/>
    <s v="Aung Tha Pyay Ward"/>
    <s v="MMR001007701505"/>
    <x v="78"/>
    <x v="78"/>
    <x v="74"/>
    <n v="24.764800000000001"/>
    <m/>
    <n v="11"/>
    <n v="55"/>
    <n v="5"/>
    <x v="0"/>
    <x v="0"/>
    <s v="Camp"/>
    <x v="0"/>
    <x v="14"/>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1"/>
    <s v="MMR001007"/>
    <s v="Nam Mun"/>
    <s v="MMR001007016"/>
    <s v="Nam Mun"/>
    <n v="166591"/>
    <x v="79"/>
    <x v="79"/>
    <x v="75"/>
    <n v="24.998349999999999"/>
    <n v="0"/>
    <n v="0"/>
    <n v="0"/>
    <s v="NA"/>
    <x v="0"/>
    <x v="0"/>
    <s v="Camp"/>
    <x v="1"/>
    <x v="19"/>
    <x v="0"/>
    <s v="RRD"/>
    <d v="2014-07-17T00:00:00"/>
    <s v="Closed. Duplicate with (Nawng Ing (Indawgyi) Baptist Church)"/>
    <s v=""/>
    <s v=""/>
    <s v=""/>
  </r>
  <r>
    <x v="1"/>
    <x v="0"/>
    <s v="MMR001"/>
    <s v="Mohnyin"/>
    <s v="MMR001D002"/>
    <x v="12"/>
    <s v="MMR001009"/>
    <s v="Hpakan Town"/>
    <s v="MMR001009701"/>
    <s v="Hnget Pyaw Taw Ward"/>
    <s v="MMR001009701502"/>
    <x v="80"/>
    <x v="80"/>
    <x v="76"/>
    <n v="25.611160000000002"/>
    <n v="0"/>
    <n v="0"/>
    <n v="0"/>
    <s v="NA"/>
    <x v="0"/>
    <x v="0"/>
    <s v="Camp"/>
    <x v="0"/>
    <x v="17"/>
    <x v="0"/>
    <s v="IP"/>
    <d v="2014-05-15T00:00:00"/>
    <s v="Closed.Moved to Na Ma Pyit KBC."/>
    <s v=""/>
    <s v=""/>
    <s v=""/>
  </r>
  <r>
    <x v="1"/>
    <x v="0"/>
    <s v="MMR001"/>
    <s v="Mohnyin"/>
    <s v="MMR001D002"/>
    <x v="12"/>
    <s v="MMR001009"/>
    <s v="Hpakan Town"/>
    <s v="MMR001009701"/>
    <s v="Hnget Pyaw Taw Ward"/>
    <s v="MMR001009701502"/>
    <x v="81"/>
    <x v="81"/>
    <x v="77"/>
    <n v="25.611899999999999"/>
    <m/>
    <n v="0"/>
    <n v="0"/>
    <s v="NA"/>
    <x v="0"/>
    <x v="0"/>
    <s v="Camp"/>
    <x v="2"/>
    <x v="11"/>
    <x v="4"/>
    <m/>
    <m/>
    <s v=" "/>
    <s v=""/>
    <s v=""/>
    <s v=""/>
  </r>
  <r>
    <x v="1"/>
    <x v="0"/>
    <s v="MMR001"/>
    <s v="Mohnyin"/>
    <s v="MMR001D002"/>
    <x v="12"/>
    <s v="MMR001009"/>
    <s v="Hpakan Town"/>
    <s v="MMR001009701"/>
    <s v="Maw Wam Ward"/>
    <s v="MMR001009701501"/>
    <x v="82"/>
    <x v="82"/>
    <x v="31"/>
    <m/>
    <m/>
    <n v="0"/>
    <n v="0"/>
    <s v="NA"/>
    <x v="0"/>
    <x v="0"/>
    <s v="Camp"/>
    <x v="2"/>
    <x v="11"/>
    <x v="4"/>
    <m/>
    <m/>
    <s v=" "/>
    <s v=""/>
    <s v=""/>
    <s v=""/>
  </r>
  <r>
    <x v="1"/>
    <x v="0"/>
    <s v="MMR001"/>
    <s v="Mohnyin"/>
    <s v="MMR001D002"/>
    <x v="12"/>
    <s v="MMR001009"/>
    <s v="Hpakan Town"/>
    <s v="MMR001009701"/>
    <s v="Maw Wam Ward"/>
    <s v="MMR001009701501"/>
    <x v="83"/>
    <x v="83"/>
    <x v="78"/>
    <n v="25.619221"/>
    <m/>
    <n v="0"/>
    <n v="0"/>
    <s v="NA"/>
    <x v="0"/>
    <x v="0"/>
    <s v="Camp"/>
    <x v="2"/>
    <x v="11"/>
    <x v="4"/>
    <m/>
    <m/>
    <s v=" "/>
    <s v=""/>
    <s v=""/>
    <s v=""/>
  </r>
  <r>
    <x v="1"/>
    <x v="0"/>
    <s v="MMR001"/>
    <s v="Mohnyin"/>
    <s v="MMR001D002"/>
    <x v="12"/>
    <s v="MMR001009"/>
    <m/>
    <m/>
    <m/>
    <m/>
    <x v="84"/>
    <x v="84"/>
    <x v="31"/>
    <m/>
    <m/>
    <m/>
    <m/>
    <s v="NA"/>
    <x v="0"/>
    <x v="0"/>
    <s v="Camp"/>
    <x v="2"/>
    <x v="11"/>
    <x v="4"/>
    <m/>
    <m/>
    <s v=" "/>
    <s v=""/>
    <s v=""/>
    <s v=""/>
  </r>
  <r>
    <x v="1"/>
    <x v="0"/>
    <s v="MMR001"/>
    <s v="Mohnyin"/>
    <s v="MMR001D002"/>
    <x v="12"/>
    <s v="MMR001009"/>
    <s v="Hpakan Town"/>
    <s v="MMR001009701"/>
    <s v="Maw Wam Ward"/>
    <s v="MMR001009701501"/>
    <x v="85"/>
    <x v="85"/>
    <x v="31"/>
    <m/>
    <m/>
    <n v="0"/>
    <n v="0"/>
    <s v="NA"/>
    <x v="0"/>
    <x v="0"/>
    <s v="Camp"/>
    <x v="2"/>
    <x v="11"/>
    <x v="4"/>
    <m/>
    <m/>
    <s v=" "/>
    <s v=""/>
    <s v=""/>
    <s v=""/>
  </r>
  <r>
    <x v="1"/>
    <x v="0"/>
    <s v="MMR001"/>
    <s v="Mohnyin"/>
    <s v="MMR001D002"/>
    <x v="12"/>
    <s v="MMR001009"/>
    <s v="Hpakan Town"/>
    <s v="MMR001009701"/>
    <s v="Maw Wam Ward"/>
    <s v="MMR001009701501"/>
    <x v="86"/>
    <x v="86"/>
    <x v="31"/>
    <m/>
    <m/>
    <n v="0"/>
    <n v="0"/>
    <s v="NA"/>
    <x v="0"/>
    <x v="0"/>
    <s v="Camp"/>
    <x v="2"/>
    <x v="11"/>
    <x v="4"/>
    <m/>
    <m/>
    <s v=" "/>
    <s v=""/>
    <s v=""/>
    <s v=""/>
  </r>
  <r>
    <x v="0"/>
    <x v="0"/>
    <s v="MMR001"/>
    <s v="Mohnyin"/>
    <s v="MMR001D002"/>
    <x v="12"/>
    <s v="MMR001009"/>
    <s v="Hpakan Town"/>
    <s v="MMR001009701"/>
    <s v="Maw Wam Ward"/>
    <s v="MMR001009701501"/>
    <x v="87"/>
    <x v="87"/>
    <x v="79"/>
    <n v="25.6145"/>
    <n v="65"/>
    <n v="4"/>
    <n v="15"/>
    <n v="3.75"/>
    <x v="0"/>
    <x v="0"/>
    <s v="Camp Like setting"/>
    <x v="0"/>
    <x v="17"/>
    <x v="1"/>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2"/>
    <s v="MMR001009"/>
    <s v="Hpakan Town"/>
    <s v="MMR001009701"/>
    <s v="Aye Mya Thar Yar Ward"/>
    <s v="MMR001009701504"/>
    <x v="88"/>
    <x v="88"/>
    <x v="31"/>
    <m/>
    <m/>
    <m/>
    <m/>
    <s v="NA"/>
    <x v="0"/>
    <x v="0"/>
    <s v="Camp"/>
    <x v="2"/>
    <x v="11"/>
    <x v="4"/>
    <m/>
    <m/>
    <s v=" "/>
    <s v=""/>
    <s v=""/>
    <s v=""/>
  </r>
  <r>
    <x v="1"/>
    <x v="0"/>
    <s v="MMR001"/>
    <s v="Mohnyin"/>
    <s v="MMR001D002"/>
    <x v="12"/>
    <s v="MMR001009"/>
    <s v="Hpakan Town"/>
    <s v="MMR001009701"/>
    <s v="Ma Shi Ka Htaung Ward"/>
    <s v="MMR001009701505"/>
    <x v="89"/>
    <x v="89"/>
    <x v="31"/>
    <m/>
    <m/>
    <n v="0"/>
    <n v="0"/>
    <s v="NA"/>
    <x v="0"/>
    <x v="0"/>
    <s v="Camp"/>
    <x v="2"/>
    <x v="11"/>
    <x v="4"/>
    <m/>
    <m/>
    <s v=" "/>
    <s v=""/>
    <s v=""/>
    <s v=""/>
  </r>
  <r>
    <x v="1"/>
    <x v="1"/>
    <s v="MMR015"/>
    <s v="Muse"/>
    <s v="MMR015D002"/>
    <x v="13"/>
    <s v="MMR015009"/>
    <s v="Mung Baw "/>
    <s v="MMR015009013"/>
    <s v="Mung Baw "/>
    <m/>
    <x v="90"/>
    <x v="90"/>
    <x v="80"/>
    <n v="24.008452999999999"/>
    <n v="3396"/>
    <m/>
    <m/>
    <s v="NA"/>
    <x v="1"/>
    <x v="0"/>
    <s v="Host Families"/>
    <x v="1"/>
    <x v="11"/>
    <x v="4"/>
    <s v="IRRC"/>
    <d v="2017-04-06T00:00:00"/>
    <s v="6/April/2017: Changed the camp stutas as &quot;Closed&quot;. Data source CCCM and comfirmed by partner (KBC). And it was updated since 3/March/2017_x000a_Change to Host Families."/>
    <s v="Pang Hseng (Kyu Koke) Town"/>
    <n v="7.490291417449443"/>
    <n v="2"/>
  </r>
  <r>
    <x v="1"/>
    <x v="0"/>
    <s v="MMR001"/>
    <s v="Mohnyin"/>
    <s v="MMR001D002"/>
    <x v="12"/>
    <s v="MMR001009"/>
    <s v="Hpakan Town"/>
    <s v="MMR001009701"/>
    <s v="Ma Shi Ka Htaung Ward"/>
    <s v="MMR001009701505"/>
    <x v="91"/>
    <x v="91"/>
    <x v="81"/>
    <n v="25.609179999999999"/>
    <m/>
    <n v="0"/>
    <n v="0"/>
    <s v="NA"/>
    <x v="0"/>
    <x v="0"/>
    <s v="Camp"/>
    <x v="2"/>
    <x v="11"/>
    <x v="4"/>
    <m/>
    <m/>
    <s v=" "/>
    <s v=""/>
    <s v=""/>
    <s v=""/>
  </r>
  <r>
    <x v="1"/>
    <x v="0"/>
    <s v="MMR001"/>
    <s v="Mohnyin"/>
    <s v="MMR001D002"/>
    <x v="12"/>
    <s v="MMR001009"/>
    <s v="Hpakan Town"/>
    <s v="MMR001009701"/>
    <s v="Ma Shi Ka Htaung Ward"/>
    <s v="MMR001009701505"/>
    <x v="92"/>
    <x v="92"/>
    <x v="31"/>
    <m/>
    <m/>
    <n v="0"/>
    <n v="0"/>
    <s v="NA"/>
    <x v="0"/>
    <x v="0"/>
    <s v="Camp"/>
    <x v="2"/>
    <x v="11"/>
    <x v="4"/>
    <m/>
    <m/>
    <s v=" "/>
    <s v=""/>
    <s v=""/>
    <s v=""/>
  </r>
  <r>
    <x v="1"/>
    <x v="0"/>
    <s v="MMR001"/>
    <s v="Mohnyin"/>
    <s v="MMR001D002"/>
    <x v="12"/>
    <s v="MMR001009"/>
    <s v="Hpakan Town"/>
    <s v="MMR001009701"/>
    <s v="Ma Shi Ka Htaung Ward"/>
    <s v="MMR001009701505"/>
    <x v="93"/>
    <x v="93"/>
    <x v="31"/>
    <m/>
    <m/>
    <n v="0"/>
    <n v="0"/>
    <s v="NA"/>
    <x v="0"/>
    <x v="0"/>
    <s v="Camp"/>
    <x v="2"/>
    <x v="11"/>
    <x v="4"/>
    <m/>
    <m/>
    <s v=" "/>
    <s v=""/>
    <s v=""/>
    <s v=""/>
  </r>
  <r>
    <x v="1"/>
    <x v="0"/>
    <s v="MMR001"/>
    <s v="Mohnyin"/>
    <s v="MMR001D002"/>
    <x v="12"/>
    <s v="MMR001009"/>
    <s v="Hpakan Town"/>
    <s v="MMR001009701"/>
    <s v="Ma Shi Ka Htaung Ward"/>
    <s v="MMR001009701505"/>
    <x v="94"/>
    <x v="94"/>
    <x v="31"/>
    <m/>
    <m/>
    <n v="0"/>
    <n v="0"/>
    <s v="NA"/>
    <x v="0"/>
    <x v="0"/>
    <s v="Camp"/>
    <x v="2"/>
    <x v="11"/>
    <x v="4"/>
    <m/>
    <m/>
    <s v=" "/>
    <s v=""/>
    <s v=""/>
    <s v=""/>
  </r>
  <r>
    <x v="1"/>
    <x v="0"/>
    <s v="MMR001"/>
    <s v="Mohnyin"/>
    <s v="MMR001D002"/>
    <x v="12"/>
    <s v="MMR001009"/>
    <s v="Hpakan Town"/>
    <s v="MMR001009701"/>
    <s v="Ma Shi Ka Htaung Ward"/>
    <s v="MMR001009701505"/>
    <x v="95"/>
    <x v="95"/>
    <x v="31"/>
    <m/>
    <m/>
    <n v="0"/>
    <n v="0"/>
    <s v="NA"/>
    <x v="0"/>
    <x v="0"/>
    <s v="Camp"/>
    <x v="2"/>
    <x v="11"/>
    <x v="4"/>
    <m/>
    <m/>
    <s v=" "/>
    <s v=""/>
    <s v=""/>
    <s v=""/>
  </r>
  <r>
    <x v="1"/>
    <x v="0"/>
    <s v="MMR001"/>
    <s v="Mohnyin"/>
    <s v="MMR001D002"/>
    <x v="12"/>
    <s v="MMR001009"/>
    <s v="Hpakan Town"/>
    <s v="MMR001009701"/>
    <s v="Ma Shi Ka Htaung Ward"/>
    <s v="MMR001009701505"/>
    <x v="96"/>
    <x v="96"/>
    <x v="31"/>
    <m/>
    <m/>
    <n v="0"/>
    <n v="0"/>
    <s v="NA"/>
    <x v="0"/>
    <x v="0"/>
    <s v="Camp"/>
    <x v="2"/>
    <x v="11"/>
    <x v="4"/>
    <m/>
    <m/>
    <s v=" "/>
    <s v=""/>
    <s v=""/>
    <s v=""/>
  </r>
  <r>
    <x v="1"/>
    <x v="1"/>
    <s v="MMR015"/>
    <s v="Muse"/>
    <s v="MMR015D003"/>
    <x v="13"/>
    <s v="MMR015019"/>
    <s v="Man Pying (Pang Hseng (Kyu Koke)) Sub-township"/>
    <s v="MMR015009038"/>
    <s v="Hawwa"/>
    <m/>
    <x v="97"/>
    <x v="97"/>
    <x v="82"/>
    <n v="23.917631"/>
    <m/>
    <m/>
    <m/>
    <s v="NA"/>
    <x v="0"/>
    <x v="0"/>
    <s v="Host Families"/>
    <x v="1"/>
    <x v="11"/>
    <x v="4"/>
    <s v="IP"/>
    <d v="2017-04-06T00:00:00"/>
    <s v="6/Apr/2017: Changed the camp status as &quot;Closed&quot;. Data source: CCCM and comfirmed by partner (KBC). And it was updated since 3/Mar/2014._x000a_Change to Host Families."/>
    <s v="Pang Hseng (Kyu Koke) Town"/>
    <n v="18.405283544772924"/>
    <n v="4"/>
  </r>
  <r>
    <x v="1"/>
    <x v="0"/>
    <s v="MMR001"/>
    <s v="Mohnyin"/>
    <s v="MMR001D002"/>
    <x v="12"/>
    <s v="MMR001009"/>
    <s v="Hpakan Town"/>
    <s v="MMR001009701"/>
    <s v="Ma Shi Ka Htaung Ward"/>
    <s v="MMR001009701505"/>
    <x v="98"/>
    <x v="98"/>
    <x v="31"/>
    <m/>
    <m/>
    <n v="0"/>
    <n v="0"/>
    <s v="NA"/>
    <x v="0"/>
    <x v="0"/>
    <s v="Camp"/>
    <x v="2"/>
    <x v="11"/>
    <x v="4"/>
    <m/>
    <m/>
    <s v=" "/>
    <s v=""/>
    <s v=""/>
    <s v=""/>
  </r>
  <r>
    <x v="1"/>
    <x v="1"/>
    <s v="MMR015"/>
    <s v="Muse"/>
    <s v="MMR015D003"/>
    <x v="13"/>
    <s v="MMR015019"/>
    <s v="Mone Paw Nam Chet (Zay) (Pang Hseng (Kyu Koke)) Sub-township"/>
    <s v="MMR015009033"/>
    <s v="Mone Paw Nam Chet"/>
    <n v="208167"/>
    <x v="99"/>
    <x v="99"/>
    <x v="83"/>
    <n v="23.978088"/>
    <m/>
    <m/>
    <m/>
    <s v="NA"/>
    <x v="0"/>
    <x v="0"/>
    <s v="Host Families"/>
    <x v="1"/>
    <x v="11"/>
    <x v="4"/>
    <s v="IP"/>
    <d v="2017-04-06T00:00:00"/>
    <s v="6/Apr/2017: Changed the camp status as &quot;Closed&quot;. Data source: CCCM and comfirmed by partner (KBC). And it was updated since 3/Mar/2014._x000a_Change to Host Families."/>
    <s v="Pang Hseng (Kyu Koke) Town"/>
    <n v="12.794700705104317"/>
    <n v="3"/>
  </r>
  <r>
    <x v="1"/>
    <x v="0"/>
    <s v="MMR001"/>
    <s v="Mohnyin"/>
    <s v="MMR001D002"/>
    <x v="12"/>
    <s v="MMR001009"/>
    <s v="Hpakan Town"/>
    <s v="MMR001009701"/>
    <s v="Myo Ma Ward"/>
    <s v="MMR001009701503"/>
    <x v="100"/>
    <x v="100"/>
    <x v="31"/>
    <m/>
    <m/>
    <m/>
    <m/>
    <s v="NA"/>
    <x v="0"/>
    <x v="0"/>
    <s v="Camp"/>
    <x v="2"/>
    <x v="11"/>
    <x v="4"/>
    <m/>
    <m/>
    <s v=" "/>
    <s v=""/>
    <s v=""/>
    <s v=""/>
  </r>
  <r>
    <x v="1"/>
    <x v="1"/>
    <s v="MMR015"/>
    <s v="Muse"/>
    <s v="MMR015D002"/>
    <x v="13"/>
    <s v="MMR015009"/>
    <s v="Man Gyat (Monekoe Sub-township)"/>
    <s v="MMR015009048"/>
    <s v="Gwum Hsan"/>
    <m/>
    <x v="101"/>
    <x v="101"/>
    <x v="84"/>
    <n v="24.101320999999999"/>
    <n v="2979"/>
    <m/>
    <m/>
    <s v="NA"/>
    <x v="1"/>
    <x v="0"/>
    <s v="Camp"/>
    <x v="0"/>
    <x v="20"/>
    <x v="0"/>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1"/>
    <x v="0"/>
    <s v="MMR001"/>
    <s v="Mohnyin"/>
    <s v="MMR001D002"/>
    <x v="12"/>
    <s v="MMR001009"/>
    <s v="Hpakan Town"/>
    <s v="MMR001009701"/>
    <s v="Myo Ma Ward"/>
    <s v="MMR001009701503"/>
    <x v="102"/>
    <x v="102"/>
    <x v="31"/>
    <m/>
    <m/>
    <n v="0"/>
    <n v="0"/>
    <s v="NA"/>
    <x v="0"/>
    <x v="0"/>
    <s v="Camp"/>
    <x v="2"/>
    <x v="11"/>
    <x v="4"/>
    <m/>
    <m/>
    <s v=" "/>
    <s v=""/>
    <s v=""/>
    <s v=""/>
  </r>
  <r>
    <x v="0"/>
    <x v="0"/>
    <s v="MMR001"/>
    <s v="Mohnyin"/>
    <s v="MMR001D002"/>
    <x v="12"/>
    <s v="MMR001009"/>
    <s v="Nam Ma Hpyit"/>
    <s v="MMR001009002"/>
    <s v="Nam Ma Hpyit"/>
    <n v="166776"/>
    <x v="103"/>
    <x v="103"/>
    <x v="85"/>
    <n v="25.613894999999999"/>
    <n v="251"/>
    <n v="49"/>
    <n v="230"/>
    <n v="4.6938775510204085"/>
    <x v="0"/>
    <x v="0"/>
    <s v="Camp"/>
    <x v="0"/>
    <x v="21"/>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2"/>
    <s v="MMR001009"/>
    <m/>
    <m/>
    <m/>
    <m/>
    <x v="104"/>
    <x v="104"/>
    <x v="31"/>
    <m/>
    <m/>
    <n v="0"/>
    <n v="0"/>
    <s v="NA"/>
    <x v="0"/>
    <x v="0"/>
    <s v="Camp"/>
    <x v="2"/>
    <x v="11"/>
    <x v="4"/>
    <m/>
    <m/>
    <s v=" "/>
    <s v=""/>
    <s v=""/>
    <s v=""/>
  </r>
  <r>
    <x v="0"/>
    <x v="0"/>
    <s v="MMR001"/>
    <s v="Mohnyin"/>
    <s v="MMR001D002"/>
    <x v="12"/>
    <s v="MMR001009"/>
    <s v="Nam Ma Hpyit"/>
    <s v="MMR001009002"/>
    <s v="Nam Ma Hpyit"/>
    <n v="166776"/>
    <x v="105"/>
    <x v="105"/>
    <x v="86"/>
    <n v="25.599250000000001"/>
    <n v="0"/>
    <n v="16"/>
    <n v="66"/>
    <n v="4.125"/>
    <x v="0"/>
    <x v="0"/>
    <s v="Camp"/>
    <x v="0"/>
    <x v="17"/>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2"/>
    <s v="MMR001009"/>
    <m/>
    <m/>
    <m/>
    <m/>
    <x v="106"/>
    <x v="106"/>
    <x v="87"/>
    <n v="25.6447"/>
    <m/>
    <n v="0"/>
    <n v="0"/>
    <s v="NA"/>
    <x v="0"/>
    <x v="0"/>
    <s v="Camp"/>
    <x v="2"/>
    <x v="11"/>
    <x v="4"/>
    <m/>
    <m/>
    <s v=" "/>
    <s v=""/>
    <s v=""/>
    <s v=""/>
  </r>
  <r>
    <x v="1"/>
    <x v="0"/>
    <s v="MMR001"/>
    <s v="Mohnyin"/>
    <s v="MMR001D002"/>
    <x v="12"/>
    <s v="MMR001009"/>
    <s v="Seik Mu"/>
    <s v="MMR001009003"/>
    <s v="Ma Mon"/>
    <n v="166790"/>
    <x v="107"/>
    <x v="107"/>
    <x v="31"/>
    <m/>
    <m/>
    <n v="0"/>
    <n v="0"/>
    <s v="NA"/>
    <x v="0"/>
    <x v="0"/>
    <s v="Camp"/>
    <x v="2"/>
    <x v="11"/>
    <x v="4"/>
    <m/>
    <m/>
    <s v=" "/>
    <s v=""/>
    <s v=""/>
    <s v=""/>
  </r>
  <r>
    <x v="1"/>
    <x v="0"/>
    <s v="MMR001"/>
    <s v="Mohnyin"/>
    <s v="MMR001D002"/>
    <x v="12"/>
    <s v="MMR001009"/>
    <m/>
    <m/>
    <m/>
    <m/>
    <x v="108"/>
    <x v="108"/>
    <x v="31"/>
    <m/>
    <m/>
    <n v="0"/>
    <n v="0"/>
    <s v="NA"/>
    <x v="0"/>
    <x v="0"/>
    <s v="Camp"/>
    <x v="2"/>
    <x v="11"/>
    <x v="4"/>
    <m/>
    <m/>
    <m/>
    <s v=""/>
    <s v=""/>
    <s v=""/>
  </r>
  <r>
    <x v="0"/>
    <x v="0"/>
    <s v="MMR001"/>
    <s v="Mohnyin"/>
    <s v="MMR001D002"/>
    <x v="12"/>
    <s v="MMR001009"/>
    <s v="Seik Mu"/>
    <s v="MMR001009003"/>
    <s v="Seik Mu"/>
    <n v="166783"/>
    <x v="109"/>
    <x v="109"/>
    <x v="88"/>
    <n v="25.582065"/>
    <n v="0"/>
    <n v="5"/>
    <n v="27"/>
    <n v="5.4"/>
    <x v="0"/>
    <x v="0"/>
    <s v="Camp Like setting"/>
    <x v="0"/>
    <x v="21"/>
    <x v="1"/>
    <s v="IP"/>
    <d v="2018-04-30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2"/>
    <s v="MMR001009"/>
    <s v="Haung Par"/>
    <s v="MMR001009004"/>
    <s v="Haung Par"/>
    <n v="166794"/>
    <x v="110"/>
    <x v="110"/>
    <x v="31"/>
    <m/>
    <m/>
    <n v="0"/>
    <n v="0"/>
    <s v="NA"/>
    <x v="0"/>
    <x v="0"/>
    <s v="Camp"/>
    <x v="2"/>
    <x v="11"/>
    <x v="4"/>
    <m/>
    <m/>
    <m/>
    <s v=""/>
    <s v=""/>
    <s v=""/>
  </r>
  <r>
    <x v="1"/>
    <x v="0"/>
    <s v="MMR001"/>
    <s v="Myitkyina"/>
    <s v="MMR001D001"/>
    <x v="1"/>
    <s v="MMR001002"/>
    <s v="Hpawt Dawt"/>
    <s v="MMR001002032"/>
    <s v="Mon Gar Zut"/>
    <n v="220360"/>
    <x v="111"/>
    <x v="111"/>
    <x v="89"/>
    <n v="25.106670000000001"/>
    <n v="756"/>
    <m/>
    <m/>
    <s v="NA"/>
    <x v="1"/>
    <x v="0"/>
    <s v="Camp"/>
    <x v="1"/>
    <x v="12"/>
    <x v="0"/>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12"/>
    <x v="112"/>
    <x v="90"/>
    <n v="25.220278"/>
    <n v="2404"/>
    <n v="125"/>
    <n v="483"/>
    <n v="3.8639999999999999"/>
    <x v="1"/>
    <x v="0"/>
    <s v="Camp"/>
    <x v="3"/>
    <x v="12"/>
    <x v="3"/>
    <s v="IP"/>
    <d v="2018-05-10T00:00:00"/>
    <s v="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13"/>
    <x v="113"/>
    <x v="91"/>
    <n v="25.273333000000001"/>
    <m/>
    <n v="0"/>
    <n v="0"/>
    <s v="NA"/>
    <x v="1"/>
    <x v="0"/>
    <s v="Camp"/>
    <x v="2"/>
    <x v="11"/>
    <x v="4"/>
    <m/>
    <m/>
    <m/>
    <s v=""/>
    <s v=""/>
    <s v=""/>
  </r>
  <r>
    <x v="0"/>
    <x v="0"/>
    <s v="MMR001"/>
    <s v="Myitkyina"/>
    <s v="MMR001D001"/>
    <x v="1"/>
    <s v="MMR001002"/>
    <s v="Saga Pa"/>
    <s v="MMR001002040"/>
    <s v="Hkau Shau"/>
    <m/>
    <x v="114"/>
    <x v="114"/>
    <x v="92"/>
    <n v="25.200333000000001"/>
    <n v="1023"/>
    <n v="154"/>
    <n v="919"/>
    <n v="5.9675324675324672"/>
    <x v="1"/>
    <x v="0"/>
    <s v="Camp"/>
    <x v="1"/>
    <x v="13"/>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15"/>
    <x v="115"/>
    <x v="93"/>
    <n v="24.755253"/>
    <n v="316"/>
    <n v="1433"/>
    <n v="7123"/>
    <n v="4.9706908583391485"/>
    <x v="1"/>
    <x v="0"/>
    <s v="Camp"/>
    <x v="0"/>
    <x v="0"/>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6"/>
    <x v="116"/>
    <x v="94"/>
    <n v="24.747212999999999"/>
    <n v="221"/>
    <n v="0"/>
    <n v="0"/>
    <s v="NA"/>
    <x v="1"/>
    <x v="0"/>
    <s v="Camp"/>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7"/>
    <x v="117"/>
    <x v="95"/>
    <n v="24.747966999999999"/>
    <m/>
    <n v="0"/>
    <n v="0"/>
    <s v="NA"/>
    <x v="0"/>
    <x v="0"/>
    <s v="Camp"/>
    <x v="2"/>
    <x v="11"/>
    <x v="4"/>
    <m/>
    <m/>
    <s v="Changed to closed"/>
    <s v=""/>
    <s v=""/>
    <s v=""/>
  </r>
  <r>
    <x v="0"/>
    <x v="0"/>
    <s v="MMR001"/>
    <s v="Myitkyina"/>
    <s v="MMR001D001"/>
    <x v="1"/>
    <s v="MMR001002"/>
    <s v="Sa Ma"/>
    <s v="MMR001002031"/>
    <s v="Nar Gu"/>
    <n v="165790"/>
    <x v="118"/>
    <x v="118"/>
    <x v="96"/>
    <n v="24.980250000000002"/>
    <n v="984"/>
    <n v="418"/>
    <n v="1569"/>
    <n v="3.7535885167464116"/>
    <x v="1"/>
    <x v="0"/>
    <s v="Camp"/>
    <x v="1"/>
    <x v="0"/>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9"/>
    <x v="119"/>
    <x v="97"/>
    <n v="24.831944"/>
    <n v="2330"/>
    <n v="163"/>
    <n v="909"/>
    <n v="5.5766871165644174"/>
    <x v="1"/>
    <x v="0"/>
    <s v="Camp"/>
    <x v="1"/>
    <x v="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20"/>
    <x v="120"/>
    <x v="98"/>
    <n v="24.688338999999999"/>
    <n v="314"/>
    <n v="1497"/>
    <n v="8461"/>
    <n v="5.6519706078824319"/>
    <x v="1"/>
    <x v="0"/>
    <s v="Camp"/>
    <x v="1"/>
    <x v="14"/>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21"/>
    <x v="121"/>
    <x v="99"/>
    <n v="24.661905999999998"/>
    <n v="415"/>
    <n v="716"/>
    <n v="3646"/>
    <n v="5.0921787709497206"/>
    <x v="1"/>
    <x v="0"/>
    <s v="Camp"/>
    <x v="1"/>
    <x v="0"/>
    <x v="3"/>
    <s v="IP"/>
    <d v="2018-05-10T00:00:00"/>
    <s v="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22"/>
    <x v="122"/>
    <x v="100"/>
    <n v="24.461033"/>
    <n v="360"/>
    <n v="93"/>
    <n v="428"/>
    <n v="4.602150537634409"/>
    <x v="1"/>
    <x v="0"/>
    <s v="Camp"/>
    <x v="3"/>
    <x v="2"/>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23"/>
    <x v="123"/>
    <x v="101"/>
    <n v="24.2744"/>
    <n v="978"/>
    <n v="651"/>
    <n v="3631"/>
    <n v="5.5775729646697387"/>
    <x v="1"/>
    <x v="0"/>
    <s v="Camp"/>
    <x v="1"/>
    <x v="6"/>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6"/>
    <s v="MMR001013"/>
    <s v="In Ba Pa"/>
    <s v="MMR001013012"/>
    <s v="La Na"/>
    <n v="216948"/>
    <x v="124"/>
    <x v="124"/>
    <x v="102"/>
    <n v="24.056132999999999"/>
    <n v="866"/>
    <n v="544"/>
    <n v="2424"/>
    <n v="4.4558823529411766"/>
    <x v="1"/>
    <x v="0"/>
    <s v="Camp"/>
    <x v="1"/>
    <x v="3"/>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6"/>
    <s v="MMR001013"/>
    <s v="Dum Buk"/>
    <s v="MMR001013014"/>
    <s v="Dum Buk"/>
    <s v="Dum Buk"/>
    <x v="125"/>
    <x v="125"/>
    <x v="103"/>
    <n v="24.002433"/>
    <n v="854"/>
    <n v="365"/>
    <n v="1729"/>
    <n v="4.7369863013698632"/>
    <x v="1"/>
    <x v="0"/>
    <s v="Camp"/>
    <x v="1"/>
    <x v="3"/>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6"/>
    <x v="126"/>
    <x v="104"/>
    <n v="24.378167000000001"/>
    <n v="1149"/>
    <n v="356"/>
    <n v="1787"/>
    <n v="5.0196629213483144"/>
    <x v="1"/>
    <x v="0"/>
    <s v="Camp"/>
    <x v="1"/>
    <x v="6"/>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6"/>
    <s v="MMR001013"/>
    <s v="Man Wein"/>
    <s v="MMR001013021"/>
    <s v="Man Wein"/>
    <n v="167405"/>
    <x v="127"/>
    <x v="127"/>
    <x v="105"/>
    <n v="23.835319999999999"/>
    <n v="795"/>
    <n v="446"/>
    <n v="2329"/>
    <n v="5.2219730941704032"/>
    <x v="0"/>
    <x v="0"/>
    <s v="Camp"/>
    <x v="1"/>
    <x v="12"/>
    <x v="5"/>
    <s v="IP"/>
    <d v="2018-05-10T00:00:00"/>
    <s v="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6"/>
    <s v="MMR001013"/>
    <s v="Man Wein"/>
    <s v="MMR001013021"/>
    <s v="Man Wein"/>
    <n v="167405"/>
    <x v="128"/>
    <x v="128"/>
    <x v="106"/>
    <n v="23.83013"/>
    <n v="741"/>
    <n v="127"/>
    <n v="649"/>
    <n v="5.1102362204724407"/>
    <x v="0"/>
    <x v="0"/>
    <s v="Camp"/>
    <x v="1"/>
    <x v="7"/>
    <x v="0"/>
    <s v="IP"/>
    <d v="2018-05-15T00:00:00"/>
    <s v="10/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6"/>
    <s v="MMR001013"/>
    <s v="Man Wein"/>
    <s v="MMR001013021"/>
    <s v="Man Wein"/>
    <n v="167405"/>
    <x v="129"/>
    <x v="129"/>
    <x v="107"/>
    <n v="23.827870999999998"/>
    <m/>
    <n v="175"/>
    <n v="834"/>
    <n v="4.765714285714286"/>
    <x v="0"/>
    <x v="0"/>
    <s v="Host Families"/>
    <x v="1"/>
    <x v="11"/>
    <x v="1"/>
    <s v="IP"/>
    <d v="2017-12-21T00:00:00"/>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6"/>
    <s v="MMR001013"/>
    <s v="La Gat Dawt"/>
    <s v="MMR001013027"/>
    <m/>
    <m/>
    <x v="130"/>
    <x v="130"/>
    <x v="108"/>
    <n v="23.9055"/>
    <n v="745"/>
    <n v="0"/>
    <n v="0"/>
    <s v="NA"/>
    <x v="1"/>
    <x v="0"/>
    <s v="Camp"/>
    <x v="3"/>
    <x v="17"/>
    <x v="5"/>
    <s v="IP"/>
    <d v="2015-08-19T00:00:00"/>
    <s v="19-Aug-15 Close. Source: CCCM Unit._x000a_Population source: KMSS-BMO"/>
    <s v="Namhkan Town"/>
    <n v="12.392289083396149"/>
    <n v="3"/>
  </r>
  <r>
    <x v="1"/>
    <x v="0"/>
    <s v="MMR001"/>
    <s v="Bhamo"/>
    <s v="MMR001D003"/>
    <x v="6"/>
    <s v="MMR001013"/>
    <s v="Man Wein"/>
    <s v="MMR001013021"/>
    <m/>
    <m/>
    <x v="131"/>
    <x v="131"/>
    <x v="31"/>
    <m/>
    <m/>
    <n v="0"/>
    <n v="0"/>
    <s v="NA"/>
    <x v="1"/>
    <x v="0"/>
    <s v="Camp"/>
    <x v="2"/>
    <x v="11"/>
    <x v="4"/>
    <s v="IP"/>
    <d v="2014-04-08T00:00:00"/>
    <s v="Closed. Move to Bum Tist Pa II and Man Wing. HH113/Pop837"/>
    <s v=""/>
    <s v=""/>
    <s v=""/>
  </r>
  <r>
    <x v="1"/>
    <x v="0"/>
    <s v="MMR001"/>
    <s v="Bhamo"/>
    <s v="MMR001D003"/>
    <x v="6"/>
    <s v="MMR001013"/>
    <s v="Nam Lin Pa"/>
    <s v="MMR001013037"/>
    <m/>
    <m/>
    <x v="132"/>
    <x v="132"/>
    <x v="109"/>
    <n v="23.75817"/>
    <m/>
    <n v="0"/>
    <n v="0"/>
    <s v="NA"/>
    <x v="1"/>
    <x v="0"/>
    <s v="Camp"/>
    <x v="2"/>
    <x v="11"/>
    <x v="4"/>
    <s v="IRRC"/>
    <m/>
    <s v="This IDP are registered in Nam Lim pa (Boarder) (MMR001CMP204). We should not calculate this number in total. "/>
    <s v=""/>
    <s v=""/>
    <s v=""/>
  </r>
  <r>
    <x v="1"/>
    <x v="0"/>
    <s v="MMR001"/>
    <s v="Myitkyina"/>
    <s v="MMR001D001"/>
    <x v="14"/>
    <s v="MMR001003"/>
    <m/>
    <m/>
    <m/>
    <m/>
    <x v="133"/>
    <x v="133"/>
    <x v="31"/>
    <m/>
    <m/>
    <n v="0"/>
    <n v="0"/>
    <s v="NA"/>
    <x v="0"/>
    <x v="0"/>
    <s v="Camp"/>
    <x v="2"/>
    <x v="11"/>
    <x v="4"/>
    <m/>
    <d v="2014-03-14T00:00:00"/>
    <s v="Close. According to RRC's info, this camp does not include in reported list."/>
    <s v=""/>
    <s v=""/>
    <s v=""/>
  </r>
  <r>
    <x v="0"/>
    <x v="0"/>
    <s v="MMR001"/>
    <s v="Myitkyina"/>
    <s v="MMR001D001"/>
    <x v="0"/>
    <s v="MMR001001"/>
    <s v="Sinbo  Town"/>
    <s v="MMR001001702"/>
    <m/>
    <m/>
    <x v="134"/>
    <x v="134"/>
    <x v="31"/>
    <m/>
    <m/>
    <n v="375"/>
    <n v="1691"/>
    <n v="4.5093333333333332"/>
    <x v="0"/>
    <x v="0"/>
    <s v="Host Families"/>
    <x v="1"/>
    <x v="22"/>
    <x v="1"/>
    <s v="IRRC"/>
    <d v="2017-06-02T00:00:00"/>
    <s v="2/June/2017: Updated Accessibility NGCA to GCA. Data source: UNOCHA._x000a_Change to Host Families."/>
    <s v="Sinbo Town"/>
    <n v="0"/>
    <n v="1"/>
  </r>
  <r>
    <x v="0"/>
    <x v="0"/>
    <s v="MMR001"/>
    <s v="Mohnyin"/>
    <s v="MMR001D002"/>
    <x v="12"/>
    <s v="MMR001009"/>
    <s v="Nam Si In (Karmaing Sub-township)"/>
    <s v="MMR001009012"/>
    <s v="Htwe San Yang"/>
    <n v="220512"/>
    <x v="135"/>
    <x v="135"/>
    <x v="110"/>
    <n v="25.51352"/>
    <n v="0"/>
    <n v="13"/>
    <n v="46"/>
    <n v="3.5384615384615383"/>
    <x v="0"/>
    <x v="0"/>
    <s v="Camp"/>
    <x v="0"/>
    <x v="16"/>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n Thar"/>
    <n v="166592"/>
    <x v="136"/>
    <x v="136"/>
    <x v="75"/>
    <n v="24.998349999999999"/>
    <m/>
    <n v="24"/>
    <n v="115"/>
    <n v="4.791666666666667"/>
    <x v="0"/>
    <x v="0"/>
    <s v="Camp"/>
    <x v="1"/>
    <x v="7"/>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7"/>
    <x v="137"/>
    <x v="31"/>
    <m/>
    <m/>
    <n v="0"/>
    <n v="0"/>
    <s v="NA"/>
    <x v="0"/>
    <x v="0"/>
    <s v="Host Families"/>
    <x v="2"/>
    <x v="11"/>
    <x v="4"/>
    <m/>
    <d v="2014-01-27T00:00:00"/>
    <s v="Closed : Source, OCHA"/>
    <s v=""/>
    <s v=""/>
    <s v=""/>
  </r>
  <r>
    <x v="0"/>
    <x v="0"/>
    <s v="MMR001"/>
    <s v="Myitkyina"/>
    <s v="MMR001D001"/>
    <x v="1"/>
    <s v="MMR001002"/>
    <s v="Saga Pa"/>
    <s v="MMR001002040"/>
    <s v="Saga Pa"/>
    <n v="165895"/>
    <x v="138"/>
    <x v="138"/>
    <x v="111"/>
    <n v="25.265277999999999"/>
    <n v="2764"/>
    <n v="88"/>
    <n v="558"/>
    <n v="6.3409090909090908"/>
    <x v="1"/>
    <x v="0"/>
    <s v="Camp"/>
    <x v="3"/>
    <x v="12"/>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9"/>
    <x v="139"/>
    <x v="112"/>
    <n v="25.493819999999999"/>
    <m/>
    <n v="75"/>
    <n v="414"/>
    <n v="5.52"/>
    <x v="0"/>
    <x v="0"/>
    <s v="Camp"/>
    <x v="0"/>
    <x v="15"/>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40"/>
    <x v="140"/>
    <x v="113"/>
    <n v="24.263786"/>
    <m/>
    <n v="190"/>
    <n v="928"/>
    <n v="4.8842105263157896"/>
    <x v="0"/>
    <x v="0"/>
    <s v="Host Families"/>
    <x v="0"/>
    <x v="11"/>
    <x v="1"/>
    <s v="IP"/>
    <d v="2017-12-21T00:00:00"/>
    <s v="7/April/2017: Population update. Data source: WFP_x000a_9/Nov/15. Population update. Data source: WFP_x000a_Update IDP increased in Oct and Nov 2013 (UNHCR - Bhamo)"/>
    <s v="Bhamo Town"/>
    <n v="1.1354007641426449"/>
    <n v="1"/>
  </r>
  <r>
    <x v="0"/>
    <x v="0"/>
    <s v="MMR001"/>
    <s v="Mohnyin"/>
    <s v="MMR001D002"/>
    <x v="12"/>
    <s v="MMR001009"/>
    <s v="Hpakan Town"/>
    <s v="MMR001009701"/>
    <s v="Maw Wam Ward"/>
    <s v="MMR001009701501"/>
    <x v="141"/>
    <x v="141"/>
    <x v="114"/>
    <n v="25.61842"/>
    <n v="250"/>
    <n v="12"/>
    <n v="61"/>
    <n v="5.083333333333333"/>
    <x v="0"/>
    <x v="0"/>
    <s v="Camp"/>
    <x v="0"/>
    <x v="2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2"/>
    <s v="MMR001009"/>
    <s v="Lone Khin"/>
    <s v="MMR001009001"/>
    <s v="Lone Khin"/>
    <n v="166773"/>
    <x v="142"/>
    <x v="142"/>
    <x v="115"/>
    <n v="25.656009999999998"/>
    <n v="317"/>
    <n v="64"/>
    <n v="324"/>
    <n v="5.0625"/>
    <x v="0"/>
    <x v="0"/>
    <s v="Camp"/>
    <x v="1"/>
    <x v="23"/>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2"/>
    <s v="MMR001009"/>
    <s v="Lone Khin"/>
    <s v="MMR001009001"/>
    <s v="Hmaw Si Zar"/>
    <n v="166775"/>
    <x v="143"/>
    <x v="143"/>
    <x v="116"/>
    <n v="25.647649999999999"/>
    <n v="0"/>
    <n v="36"/>
    <n v="228"/>
    <n v="6.333333333333333"/>
    <x v="0"/>
    <x v="0"/>
    <s v="Camp"/>
    <x v="1"/>
    <x v="23"/>
    <x v="0"/>
    <s v="IP"/>
    <d v="2018-05-15T00:00:00"/>
    <s v="10/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2"/>
    <s v="MMR001009"/>
    <s v="Lone Khin"/>
    <s v="MMR001009001"/>
    <s v="Ku Day"/>
    <n v="216877"/>
    <x v="144"/>
    <x v="144"/>
    <x v="117"/>
    <n v="25.655989999999999"/>
    <m/>
    <m/>
    <m/>
    <s v="NA"/>
    <x v="0"/>
    <x v="0"/>
    <s v="Camp"/>
    <x v="2"/>
    <x v="11"/>
    <x v="4"/>
    <m/>
    <m/>
    <s v=" "/>
    <s v=""/>
    <s v=""/>
    <s v=""/>
  </r>
  <r>
    <x v="1"/>
    <x v="0"/>
    <s v="MMR001"/>
    <s v="Mohnyin"/>
    <s v="MMR001D002"/>
    <x v="12"/>
    <s v="MMR001009"/>
    <s v="Lone Khin"/>
    <s v="MMR001009001"/>
    <s v="Lone Khin"/>
    <n v="166773"/>
    <x v="145"/>
    <x v="145"/>
    <x v="118"/>
    <n v="25.658650000000002"/>
    <m/>
    <n v="0"/>
    <n v="0"/>
    <s v="NA"/>
    <x v="0"/>
    <x v="0"/>
    <s v="Camp"/>
    <x v="2"/>
    <x v="11"/>
    <x v="4"/>
    <m/>
    <m/>
    <s v=" "/>
    <s v=""/>
    <s v=""/>
    <s v=""/>
  </r>
  <r>
    <x v="1"/>
    <x v="0"/>
    <s v="MMR001"/>
    <s v="Mohnyin"/>
    <s v="MMR001D002"/>
    <x v="12"/>
    <s v="MMR001009"/>
    <s v="Lone Khin"/>
    <s v="MMR001009001"/>
    <s v="Ma Sut Yang"/>
    <n v="216880"/>
    <x v="146"/>
    <x v="146"/>
    <x v="119"/>
    <n v="25.668469999999999"/>
    <n v="256"/>
    <m/>
    <m/>
    <s v="NA"/>
    <x v="0"/>
    <x v="0"/>
    <s v="Camp"/>
    <x v="1"/>
    <x v="23"/>
    <x v="4"/>
    <s v="RRD"/>
    <d v="2014-05-15T00:00:00"/>
    <s v="Only one HH left, included in Lon Khin Baptist distribution list."/>
    <s v=""/>
    <s v=""/>
    <s v=""/>
  </r>
  <r>
    <x v="1"/>
    <x v="0"/>
    <s v="MMR001"/>
    <s v="Mohnyin"/>
    <s v="MMR001D002"/>
    <x v="12"/>
    <s v="MMR001009"/>
    <s v="Lone Khin"/>
    <s v="MMR001009001"/>
    <s v="Hmaw Si Zar"/>
    <n v="166775"/>
    <x v="147"/>
    <x v="147"/>
    <x v="31"/>
    <m/>
    <m/>
    <m/>
    <m/>
    <s v="NA"/>
    <x v="0"/>
    <x v="0"/>
    <s v="Camp"/>
    <x v="2"/>
    <x v="11"/>
    <x v="4"/>
    <m/>
    <m/>
    <s v=" "/>
    <s v=""/>
    <s v=""/>
    <s v=""/>
  </r>
  <r>
    <x v="0"/>
    <x v="0"/>
    <s v="MMR001"/>
    <s v="Mohnyin"/>
    <s v="MMR001D002"/>
    <x v="12"/>
    <s v="MMR001009"/>
    <s v="Lone Khin"/>
    <s v="MMR001009001"/>
    <s v="Nyein Chan Thar Yar"/>
    <n v="216876"/>
    <x v="148"/>
    <x v="148"/>
    <x v="120"/>
    <n v="25.637309999999999"/>
    <n v="277.60000000000002"/>
    <n v="70"/>
    <n v="375"/>
    <n v="5.3571428571428568"/>
    <x v="0"/>
    <x v="0"/>
    <s v="Camp"/>
    <x v="0"/>
    <x v="2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2"/>
    <s v="MMR001009"/>
    <s v="Hpakan Town"/>
    <s v="MMR001009701"/>
    <s v="Ma Shi Ka Htaung Ward"/>
    <s v="MMR001009701505"/>
    <x v="149"/>
    <x v="149"/>
    <x v="31"/>
    <m/>
    <m/>
    <m/>
    <m/>
    <s v="NA"/>
    <x v="0"/>
    <x v="0"/>
    <s v="Camp"/>
    <x v="2"/>
    <x v="11"/>
    <x v="4"/>
    <m/>
    <m/>
    <s v=" "/>
    <s v=""/>
    <s v=""/>
    <s v=""/>
  </r>
  <r>
    <x v="0"/>
    <x v="0"/>
    <s v="MMR001"/>
    <s v="Mohnyin"/>
    <s v="MMR001D002"/>
    <x v="12"/>
    <s v="MMR001009"/>
    <s v="Lone Khin"/>
    <s v="MMR001009001"/>
    <s v="Lone Khin"/>
    <n v="166773"/>
    <x v="150"/>
    <x v="150"/>
    <x v="121"/>
    <n v="25.635300000000001"/>
    <n v="0"/>
    <n v="65"/>
    <n v="353"/>
    <n v="5.430769230769231"/>
    <x v="0"/>
    <x v="0"/>
    <s v="Camp"/>
    <x v="0"/>
    <x v="23"/>
    <x v="2"/>
    <s v="IP"/>
    <d v="2018-05-15T00:00:00"/>
    <s v="10/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2"/>
    <s v="MMR001009"/>
    <s v="Lone Khin"/>
    <s v="MMR001009001"/>
    <s v="Lone Khin"/>
    <n v="166773"/>
    <x v="151"/>
    <x v="151"/>
    <x v="122"/>
    <n v="25.658670000000001"/>
    <n v="0"/>
    <n v="0"/>
    <n v="0"/>
    <s v="NA"/>
    <x v="0"/>
    <x v="0"/>
    <s v="Camp"/>
    <x v="1"/>
    <x v="23"/>
    <x v="4"/>
    <s v="RRD"/>
    <d v="2014-05-15T00:00:00"/>
    <s v="Closed."/>
    <s v=""/>
    <s v=""/>
    <s v=""/>
  </r>
  <r>
    <x v="1"/>
    <x v="0"/>
    <s v="MMR001"/>
    <s v="Mohnyin"/>
    <s v="MMR001D002"/>
    <x v="12"/>
    <s v="MMR001009"/>
    <s v="Lone Khin"/>
    <s v="MMR001009001"/>
    <s v="Lone Khin"/>
    <n v="166773"/>
    <x v="152"/>
    <x v="152"/>
    <x v="123"/>
    <n v="25.651440000000001"/>
    <m/>
    <n v="0"/>
    <n v="0"/>
    <s v="NA"/>
    <x v="0"/>
    <x v="0"/>
    <s v="Camp"/>
    <x v="2"/>
    <x v="11"/>
    <x v="4"/>
    <m/>
    <m/>
    <s v=" "/>
    <s v=""/>
    <s v=""/>
    <s v=""/>
  </r>
  <r>
    <x v="1"/>
    <x v="0"/>
    <s v="MMR001"/>
    <s v="Mohnyin"/>
    <s v="MMR001D002"/>
    <x v="12"/>
    <s v="MMR001009"/>
    <s v="Lone Khin"/>
    <s v="MMR001009001"/>
    <s v="Lone Khin"/>
    <n v="166773"/>
    <x v="153"/>
    <x v="153"/>
    <x v="124"/>
    <n v="25.656130000000001"/>
    <n v="0"/>
    <m/>
    <m/>
    <s v="NA"/>
    <x v="0"/>
    <x v="0"/>
    <s v="Camp"/>
    <x v="1"/>
    <x v="23"/>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2"/>
    <s v="MMR001009"/>
    <s v="Seik Mu"/>
    <s v="MMR001009003"/>
    <s v="Seik Mu"/>
    <n v="166783"/>
    <x v="154"/>
    <x v="154"/>
    <x v="31"/>
    <m/>
    <m/>
    <m/>
    <m/>
    <s v="NA"/>
    <x v="0"/>
    <x v="0"/>
    <s v="Camp"/>
    <x v="1"/>
    <x v="11"/>
    <x v="4"/>
    <s v="IP"/>
    <d v="2014-05-15T00:00:00"/>
    <s v="Closed."/>
    <s v=""/>
    <s v=""/>
    <s v=""/>
  </r>
  <r>
    <x v="0"/>
    <x v="0"/>
    <s v="MMR001"/>
    <s v="Mohnyin"/>
    <s v="MMR001D002"/>
    <x v="12"/>
    <s v="MMR001009"/>
    <s v="Seik Mu"/>
    <s v="MMR001009003"/>
    <s v="Maw Shan"/>
    <n v="166785"/>
    <x v="155"/>
    <x v="155"/>
    <x v="125"/>
    <n v="25.566510000000001"/>
    <n v="278"/>
    <n v="19"/>
    <n v="102"/>
    <n v="5.3684210526315788"/>
    <x v="0"/>
    <x v="0"/>
    <s v="Camp"/>
    <x v="1"/>
    <x v="2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2"/>
    <s v="MMR001009"/>
    <s v="Seik Mu"/>
    <s v="MMR001009003"/>
    <s v="Maw Shan"/>
    <n v="166785"/>
    <x v="156"/>
    <x v="156"/>
    <x v="126"/>
    <n v="25.56551"/>
    <n v="259"/>
    <n v="10"/>
    <n v="39"/>
    <n v="3.9"/>
    <x v="0"/>
    <x v="0"/>
    <s v="Camp Like setting"/>
    <x v="1"/>
    <x v="23"/>
    <x v="1"/>
    <s v="IP"/>
    <d v="2018-03-27T00:00:00"/>
    <s v="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2"/>
    <s v="MMR001009"/>
    <s v="Seik Mu"/>
    <s v="MMR001009003"/>
    <s v="Maw Shan"/>
    <n v="166785"/>
    <x v="157"/>
    <x v="157"/>
    <x v="127"/>
    <n v="25.668399999999998"/>
    <n v="0"/>
    <n v="8"/>
    <n v="32"/>
    <n v="4"/>
    <x v="0"/>
    <x v="0"/>
    <s v="Camp"/>
    <x v="1"/>
    <x v="23"/>
    <x v="0"/>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2"/>
    <s v="MMR001009"/>
    <s v="Seik Mu"/>
    <s v="MMR001009003"/>
    <s v="Sai Taung (Ywar Haung)"/>
    <n v="166788"/>
    <x v="158"/>
    <x v="158"/>
    <x v="128"/>
    <n v="25.577559999999998"/>
    <n v="0"/>
    <n v="32"/>
    <n v="180"/>
    <n v="5.625"/>
    <x v="0"/>
    <x v="0"/>
    <s v="Camp"/>
    <x v="0"/>
    <x v="23"/>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2"/>
    <s v="MMR001009"/>
    <s v="Seik Mu"/>
    <s v="MMR001009003"/>
    <s v="Seik Mu"/>
    <n v="166783"/>
    <x v="159"/>
    <x v="159"/>
    <x v="129"/>
    <n v="25.57921"/>
    <n v="0"/>
    <m/>
    <m/>
    <s v="NA"/>
    <x v="0"/>
    <x v="0"/>
    <s v="Camp"/>
    <x v="1"/>
    <x v="23"/>
    <x v="3"/>
    <s v="RRD"/>
    <d v="2014-04-07T00:00:00"/>
    <s v="Move to Nant Ma Hpit Catholic Church."/>
    <s v=""/>
    <s v=""/>
    <s v=""/>
  </r>
  <r>
    <x v="1"/>
    <x v="0"/>
    <s v="MMR001"/>
    <s v="Mohnyin"/>
    <s v="MMR001D002"/>
    <x v="12"/>
    <s v="MMR001009"/>
    <s v="Seik Mu"/>
    <s v="MMR001009003"/>
    <s v="Seik Mu"/>
    <n v="166783"/>
    <x v="160"/>
    <x v="160"/>
    <x v="31"/>
    <m/>
    <m/>
    <m/>
    <m/>
    <s v="NA"/>
    <x v="0"/>
    <x v="0"/>
    <s v="Camp"/>
    <x v="2"/>
    <x v="11"/>
    <x v="4"/>
    <s v="RRD"/>
    <d v="2014-01-24T00:00:00"/>
    <s v="UNOCHA"/>
    <s v=""/>
    <s v=""/>
    <s v=""/>
  </r>
  <r>
    <x v="1"/>
    <x v="0"/>
    <s v="MMR001"/>
    <s v="Mohnyin"/>
    <s v="MMR001D002"/>
    <x v="12"/>
    <s v="MMR001009"/>
    <s v="Nawng Mi"/>
    <s v="MMR001009008"/>
    <s v="Nawng Myi"/>
    <n v="166817"/>
    <x v="161"/>
    <x v="161"/>
    <x v="130"/>
    <n v="25.728653000000001"/>
    <m/>
    <m/>
    <m/>
    <s v="NA"/>
    <x v="0"/>
    <x v="0"/>
    <s v="Camp"/>
    <x v="1"/>
    <x v="11"/>
    <x v="2"/>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2"/>
    <s v="MMR001009"/>
    <s v="Hpakan Town"/>
    <s v="MMR001009701"/>
    <s v="Maw Wam Ward"/>
    <s v="MMR001009701501"/>
    <x v="162"/>
    <x v="162"/>
    <x v="31"/>
    <m/>
    <m/>
    <n v="0"/>
    <n v="0"/>
    <s v="NA"/>
    <x v="0"/>
    <x v="0"/>
    <s v="Camp"/>
    <x v="2"/>
    <x v="11"/>
    <x v="4"/>
    <m/>
    <m/>
    <m/>
    <s v=""/>
    <s v=""/>
    <s v=""/>
  </r>
  <r>
    <x v="0"/>
    <x v="0"/>
    <s v="MMR001"/>
    <s v="Mohnyin"/>
    <s v="MMR001D002"/>
    <x v="12"/>
    <s v="MMR001009"/>
    <s v="Hpakan Town"/>
    <s v="MMR001009701"/>
    <s v="Maw Wam Ward"/>
    <s v="MMR001009701501"/>
    <x v="163"/>
    <x v="163"/>
    <x v="131"/>
    <n v="25.616509000000001"/>
    <n v="264"/>
    <n v="14"/>
    <n v="81"/>
    <n v="5.7857142857142856"/>
    <x v="0"/>
    <x v="0"/>
    <s v="Camp"/>
    <x v="0"/>
    <x v="23"/>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2"/>
    <s v="MMR001009"/>
    <s v="Hpakan Town"/>
    <s v="MMR001009701"/>
    <s v="Maw Wam Ward"/>
    <s v="MMR001009701501"/>
    <x v="164"/>
    <x v="164"/>
    <x v="132"/>
    <n v="25.615960999999999"/>
    <n v="281"/>
    <n v="4"/>
    <n v="27"/>
    <n v="6.75"/>
    <x v="0"/>
    <x v="0"/>
    <s v="Camp Like setting"/>
    <x v="0"/>
    <x v="17"/>
    <x v="1"/>
    <s v="IP"/>
    <d v="2018-04-30T00:00:00"/>
    <s v="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2"/>
    <s v="MMR001009"/>
    <s v="Nam Ma Hpyit"/>
    <s v="MMR001009002"/>
    <s v="Nam Ma Hpyit"/>
    <n v="166776"/>
    <x v="165"/>
    <x v="165"/>
    <x v="133"/>
    <n v="25.617998"/>
    <m/>
    <n v="11"/>
    <n v="46"/>
    <n v="4.1818181818181817"/>
    <x v="0"/>
    <x v="0"/>
    <s v="Camp Like setting"/>
    <x v="0"/>
    <x v="23"/>
    <x v="1"/>
    <s v="IP"/>
    <d v="2018-04-30T00:00:00"/>
    <s v="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6"/>
    <x v="166"/>
    <x v="134"/>
    <n v="24.222349999999999"/>
    <n v="0"/>
    <n v="147"/>
    <n v="771"/>
    <n v="5.2448979591836737"/>
    <x v="0"/>
    <x v="0"/>
    <s v="Camp"/>
    <x v="0"/>
    <x v="23"/>
    <x v="0"/>
    <s v="IP"/>
    <d v="2018-05-15T00:00:00"/>
    <s v="10/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7"/>
    <x v="167"/>
    <x v="134"/>
    <n v="24.260466999999998"/>
    <n v="0"/>
    <n v="12"/>
    <n v="52"/>
    <n v="4.333333333333333"/>
    <x v="0"/>
    <x v="0"/>
    <s v="Camp"/>
    <x v="0"/>
    <x v="24"/>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8"/>
    <x v="168"/>
    <x v="135"/>
    <n v="25.887339999999998"/>
    <n v="259.10000000000002"/>
    <n v="143"/>
    <n v="640"/>
    <n v="4.4755244755244759"/>
    <x v="0"/>
    <x v="0"/>
    <s v="Camp"/>
    <x v="1"/>
    <x v="7"/>
    <x v="2"/>
    <s v="IP"/>
    <d v="2018-05-15T00:00:00"/>
    <s v="30/Apr/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6"/>
    <s v="MMR001013"/>
    <s v="Mansi Town"/>
    <s v="MMR001013701"/>
    <m/>
    <m/>
    <x v="140"/>
    <x v="169"/>
    <x v="136"/>
    <n v="24.118618999999999"/>
    <m/>
    <n v="80"/>
    <n v="290"/>
    <n v="3.625"/>
    <x v="0"/>
    <x v="0"/>
    <s v="Host Families"/>
    <x v="0"/>
    <x v="11"/>
    <x v="1"/>
    <s v="IP"/>
    <d v="2017-12-21T00:00:00"/>
    <s v="21/Dec/2017: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40"/>
    <x v="170"/>
    <x v="137"/>
    <n v="24.251232000000002"/>
    <m/>
    <n v="223"/>
    <n v="1067"/>
    <n v="4.7847533632286998"/>
    <x v="0"/>
    <x v="0"/>
    <s v="Host Families"/>
    <x v="0"/>
    <x v="11"/>
    <x v="1"/>
    <s v="RRD"/>
    <d v="2017-12-21T00:00:00"/>
    <s v="21/Dec/2017: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9"/>
    <x v="171"/>
    <x v="138"/>
    <n v="24.759551999999999"/>
    <m/>
    <m/>
    <m/>
    <s v="NA"/>
    <x v="0"/>
    <x v="0"/>
    <s v="Host Families"/>
    <x v="1"/>
    <x v="11"/>
    <x v="4"/>
    <s v="RRD"/>
    <d v="2017-07-11T00:00:00"/>
    <s v="11/Jul/2017: Change status to Close as no update available_x000a_Geo-Info, HH/Pop data was updated from Google Earth."/>
    <s v="Dawthponeyan  Town"/>
    <n v="24.701686141136339"/>
    <n v="5"/>
  </r>
  <r>
    <x v="1"/>
    <x v="0"/>
    <s v="MMR001"/>
    <s v="Bhamo"/>
    <s v="MMR001D003"/>
    <x v="7"/>
    <s v="MMR001011"/>
    <s v="Shwegu Town"/>
    <s v="MMR001011701"/>
    <m/>
    <m/>
    <x v="140"/>
    <x v="172"/>
    <x v="139"/>
    <n v="24.224830999999998"/>
    <m/>
    <m/>
    <m/>
    <s v="NA"/>
    <x v="0"/>
    <x v="0"/>
    <s v="Host Families"/>
    <x v="0"/>
    <x v="11"/>
    <x v="4"/>
    <s v="RRD"/>
    <d v="2017-07-11T00:00:00"/>
    <s v="11/Jul/2017: Change status to Close as no update available."/>
    <s v="Shwegu Town"/>
    <n v="2.3794331620169178"/>
    <n v="1"/>
  </r>
  <r>
    <x v="0"/>
    <x v="0"/>
    <s v="MMR001"/>
    <s v="Bhamo"/>
    <s v="MMR001D003"/>
    <x v="4"/>
    <s v="MMR001012"/>
    <s v="Myo Thit"/>
    <s v="MMR001012013"/>
    <s v="Khon Sint"/>
    <n v="167060"/>
    <x v="170"/>
    <x v="173"/>
    <x v="140"/>
    <n v="24.377054000000001"/>
    <m/>
    <n v="3"/>
    <n v="18"/>
    <n v="6"/>
    <x v="0"/>
    <x v="0"/>
    <s v="Host Families"/>
    <x v="1"/>
    <x v="11"/>
    <x v="1"/>
    <s v="RRD"/>
    <d v="2017-08-03T00:00:00"/>
    <s v="WFP"/>
    <s v="Momauk Town"/>
    <n v="13.446032768350749"/>
    <n v="3"/>
  </r>
  <r>
    <x v="1"/>
    <x v="1"/>
    <s v="MMR015"/>
    <s v="Muse"/>
    <s v="MMR015D002"/>
    <x v="15"/>
    <s v="MMR015011"/>
    <s v="Kar Lai Kone Hsar"/>
    <s v="MMR015011005"/>
    <s v="Kar Lai"/>
    <n v="208557"/>
    <x v="171"/>
    <x v="174"/>
    <x v="141"/>
    <n v="23.4008"/>
    <n v="0"/>
    <m/>
    <m/>
    <s v="NA"/>
    <x v="0"/>
    <x v="0"/>
    <s v="Camp"/>
    <x v="1"/>
    <x v="23"/>
    <x v="0"/>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1"/>
    <x v="0"/>
    <s v="MMR001"/>
    <s v="Mohnyin"/>
    <s v="MMR001D002"/>
    <x v="12"/>
    <s v="MMR001009"/>
    <s v="Hpakan Town"/>
    <s v="MMR001009701"/>
    <s v="Maw Wam Ward"/>
    <s v="MMR001009701501"/>
    <x v="172"/>
    <x v="175"/>
    <x v="142"/>
    <n v="25.615006000000001"/>
    <m/>
    <n v="0"/>
    <n v="0"/>
    <s v="NA"/>
    <x v="0"/>
    <x v="0"/>
    <s v="Camp"/>
    <x v="2"/>
    <x v="11"/>
    <x v="4"/>
    <m/>
    <m/>
    <s v=" "/>
    <s v=""/>
    <s v=""/>
    <s v=""/>
  </r>
  <r>
    <x v="1"/>
    <x v="0"/>
    <s v="MMR001"/>
    <s v="Bhamo"/>
    <s v="MMR001D003"/>
    <x v="6"/>
    <s v="MMR001013"/>
    <s v="Man Mawn"/>
    <s v="MMR001013022"/>
    <m/>
    <m/>
    <x v="173"/>
    <x v="176"/>
    <x v="143"/>
    <n v="23.867713999999999"/>
    <n v="755"/>
    <n v="0"/>
    <n v="0"/>
    <s v="NA"/>
    <x v="1"/>
    <x v="0"/>
    <s v="Camp"/>
    <x v="1"/>
    <x v="25"/>
    <x v="5"/>
    <s v="IP"/>
    <d v="2014-06-21T00:00:00"/>
    <s v="Closed. Source: Save The Children"/>
    <s v=""/>
    <s v=""/>
    <s v=""/>
  </r>
  <r>
    <x v="1"/>
    <x v="0"/>
    <s v="MMR001"/>
    <s v="Bhamo"/>
    <s v="MMR001D003"/>
    <x v="6"/>
    <s v="MMR001013"/>
    <s v="Mung Ding Pa"/>
    <s v="MMR001013038"/>
    <m/>
    <m/>
    <x v="174"/>
    <x v="177"/>
    <x v="144"/>
    <n v="24.20645"/>
    <n v="781.8"/>
    <n v="0"/>
    <n v="0"/>
    <s v="NA"/>
    <x v="1"/>
    <x v="0"/>
    <s v="Camp"/>
    <x v="1"/>
    <x v="20"/>
    <x v="4"/>
    <s v="IP"/>
    <d v="2014-01-22T00:00:00"/>
    <s v="Closed: Source UNHCR-Bhamo"/>
    <s v=""/>
    <s v=""/>
    <s v=""/>
  </r>
  <r>
    <x v="1"/>
    <x v="0"/>
    <s v="MMR001"/>
    <s v="Bhamo"/>
    <s v="MMR001D003"/>
    <x v="6"/>
    <s v="MMR001013"/>
    <s v="Nam Lin Pa"/>
    <s v="MMR001013037"/>
    <m/>
    <m/>
    <x v="175"/>
    <x v="178"/>
    <x v="109"/>
    <n v="23.75817"/>
    <n v="781.8"/>
    <n v="0"/>
    <n v="0"/>
    <s v="NA"/>
    <x v="1"/>
    <x v="0"/>
    <s v="Camp"/>
    <x v="1"/>
    <x v="20"/>
    <x v="4"/>
    <s v="IP"/>
    <m/>
    <s v="Closed: Source UNHCR-Bhamo"/>
    <s v=""/>
    <s v=""/>
    <s v=""/>
  </r>
  <r>
    <x v="0"/>
    <x v="1"/>
    <s v="MMR015"/>
    <s v="Muse"/>
    <s v="MMR015D002"/>
    <x v="15"/>
    <s v="MMR015011"/>
    <s v="Kutkai Town"/>
    <s v="MMR015011701"/>
    <s v="No (3) Ward"/>
    <s v="MMR015011701503"/>
    <x v="176"/>
    <x v="179"/>
    <x v="145"/>
    <n v="23.460349999999998"/>
    <n v="4430"/>
    <n v="29"/>
    <n v="138"/>
    <n v="4.7586206896551726"/>
    <x v="0"/>
    <x v="0"/>
    <s v="Camp"/>
    <x v="0"/>
    <x v="15"/>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0"/>
    <s v="MMR001"/>
    <s v="Puta-O"/>
    <s v="MMR001D004"/>
    <x v="16"/>
    <s v="MMR001015"/>
    <s v="Sumprabum Town"/>
    <s v="MMR001015701"/>
    <m/>
    <m/>
    <x v="177"/>
    <x v="180"/>
    <x v="146"/>
    <n v="26.541930000000001"/>
    <n v="1025"/>
    <n v="5"/>
    <n v="32"/>
    <n v="6.4"/>
    <x v="0"/>
    <x v="0"/>
    <s v="Camp Like setting"/>
    <x v="1"/>
    <x v="11"/>
    <x v="1"/>
    <s v="RRD"/>
    <d v="2017-07-11T00:00:00"/>
    <m/>
    <s v="Sumprabum Town"/>
    <n v="0.23004407510846425"/>
    <n v="1"/>
  </r>
  <r>
    <x v="0"/>
    <x v="0"/>
    <s v="MMR001"/>
    <s v="Myitkyina"/>
    <s v="MMR001D001"/>
    <x v="1"/>
    <s v="MMR001002"/>
    <s v="Nam Sang Yang"/>
    <s v="MMR001002024"/>
    <m/>
    <m/>
    <x v="178"/>
    <x v="181"/>
    <x v="147"/>
    <n v="24.752471"/>
    <m/>
    <m/>
    <n v="872"/>
    <s v="NA"/>
    <x v="1"/>
    <x v="0"/>
    <s v="Boarding School"/>
    <x v="0"/>
    <x v="11"/>
    <x v="1"/>
    <s v="IRRC"/>
    <d v="2017-01-01T00:00:00"/>
    <s v="In 2014, this school is no longer accepting the lower grade students."/>
    <s v="Laiza town"/>
    <n v="2.3307568207764655"/>
    <n v="1"/>
  </r>
  <r>
    <x v="1"/>
    <x v="0"/>
    <s v="MMR001"/>
    <s v="Bhamo"/>
    <s v="MMR001D003"/>
    <x v="6"/>
    <s v="MMR001013"/>
    <s v="Nam Lin Pa"/>
    <s v="MMR001013037"/>
    <m/>
    <m/>
    <x v="179"/>
    <x v="182"/>
    <x v="31"/>
    <m/>
    <m/>
    <n v="0"/>
    <n v="0"/>
    <s v="NA"/>
    <x v="1"/>
    <x v="0"/>
    <s v="Camp"/>
    <x v="2"/>
    <x v="11"/>
    <x v="4"/>
    <s v="IP"/>
    <m/>
    <s v="Closed: Source UNHCR-Bhamo"/>
    <s v=""/>
    <s v=""/>
    <s v=""/>
  </r>
  <r>
    <x v="0"/>
    <x v="0"/>
    <s v="MMR001"/>
    <s v="Myitkyina"/>
    <s v="MMR001D001"/>
    <x v="2"/>
    <s v="MMR001005"/>
    <s v="Pang War Town"/>
    <s v="MMR001005702"/>
    <s v="No (2) Ward"/>
    <s v="MMR001005702502"/>
    <x v="180"/>
    <x v="183"/>
    <x v="148"/>
    <n v="25.60867"/>
    <n v="2345"/>
    <n v="57"/>
    <n v="270"/>
    <n v="4.7368421052631575"/>
    <x v="0"/>
    <x v="0"/>
    <s v="Camp"/>
    <x v="1"/>
    <x v="20"/>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81"/>
    <x v="184"/>
    <x v="31"/>
    <m/>
    <m/>
    <n v="0"/>
    <n v="0"/>
    <s v="NA"/>
    <x v="0"/>
    <x v="0"/>
    <s v="Camp"/>
    <x v="0"/>
    <x v="11"/>
    <x v="4"/>
    <s v="IP"/>
    <d v="2014-03-03T00:00:00"/>
    <s v="Closed. Rellocated to Tharthana Ahlin Yaung."/>
    <s v=""/>
    <s v=""/>
    <s v=""/>
  </r>
  <r>
    <x v="1"/>
    <x v="0"/>
    <s v="MMR001"/>
    <s v="Bhamo"/>
    <s v="MMR001D003"/>
    <x v="6"/>
    <s v="MMR001013"/>
    <s v="Mai Bat"/>
    <s v="MMR001013018"/>
    <s v="Man Kawng"/>
    <n v="167391"/>
    <x v="182"/>
    <x v="185"/>
    <x v="149"/>
    <n v="24.181640000000002"/>
    <m/>
    <n v="0"/>
    <n v="0"/>
    <s v="NA"/>
    <x v="0"/>
    <x v="0"/>
    <s v="Camp"/>
    <x v="2"/>
    <x v="11"/>
    <x v="4"/>
    <s v="IP"/>
    <d v="2014-03-03T00:00:00"/>
    <s v="Closed. Duplicate with Maing Khaung."/>
    <s v=""/>
    <s v=""/>
    <s v=""/>
  </r>
  <r>
    <x v="1"/>
    <x v="0"/>
    <s v="MMR001"/>
    <s v="Bhamo"/>
    <s v="MMR001D003"/>
    <x v="6"/>
    <s v="MMR001013"/>
    <s v="Mai Bat"/>
    <s v="MMR001013018"/>
    <s v="Man Kawng"/>
    <n v="167391"/>
    <x v="183"/>
    <x v="186"/>
    <x v="149"/>
    <n v="24.181640000000002"/>
    <m/>
    <n v="0"/>
    <n v="0"/>
    <s v="NA"/>
    <x v="0"/>
    <x v="0"/>
    <s v="Camp"/>
    <x v="2"/>
    <x v="11"/>
    <x v="4"/>
    <s v="IP"/>
    <d v="2014-03-03T00:00:00"/>
    <s v="Closed. Duplicate with Maing Khaung."/>
    <s v=""/>
    <s v=""/>
    <s v=""/>
  </r>
  <r>
    <x v="1"/>
    <x v="1"/>
    <s v="MMR015"/>
    <s v="Muse"/>
    <s v="MMR015D002"/>
    <x v="15"/>
    <s v="MMR015011"/>
    <s v="Long Waun Nam Rein (Tarmoenye Sub-township)"/>
    <s v="MMR015011050"/>
    <s v="Mai Pong (Shu See)"/>
    <m/>
    <x v="184"/>
    <x v="187"/>
    <x v="150"/>
    <n v="23.391741"/>
    <n v="0"/>
    <n v="0"/>
    <n v="0"/>
    <s v="NA"/>
    <x v="0"/>
    <x v="0"/>
    <s v="Camp"/>
    <x v="1"/>
    <x v="24"/>
    <x v="4"/>
    <s v="IP"/>
    <d v="2014-03-03T00:00:00"/>
    <s v="Close. Same with Kutkai Down Town RC. Source UNHCR Bhamo"/>
    <s v=""/>
    <s v=""/>
    <s v=""/>
  </r>
  <r>
    <x v="1"/>
    <x v="0"/>
    <s v="MMR001"/>
    <s v="Bhamo"/>
    <s v="MMR001D003"/>
    <x v="6"/>
    <s v="MMR001013"/>
    <m/>
    <m/>
    <m/>
    <m/>
    <x v="185"/>
    <x v="188"/>
    <x v="31"/>
    <m/>
    <m/>
    <n v="0"/>
    <n v="0"/>
    <s v="NA"/>
    <x v="0"/>
    <x v="0"/>
    <s v="Camp"/>
    <x v="2"/>
    <x v="11"/>
    <x v="4"/>
    <s v="IP"/>
    <d v="2014-03-03T00:00:00"/>
    <s v="Closed. Rellocated to Man Win and La Ga Yaung"/>
    <s v=""/>
    <s v=""/>
    <s v=""/>
  </r>
  <r>
    <x v="1"/>
    <x v="1"/>
    <s v="MMR015"/>
    <s v="Muse"/>
    <s v="MMR015D002"/>
    <x v="13"/>
    <s v="MMR015009"/>
    <s v="Hpai Kawng"/>
    <s v="MMR015009031"/>
    <s v="Hpai Kawng"/>
    <n v="208156"/>
    <x v="186"/>
    <x v="189"/>
    <x v="151"/>
    <n v="24.08738"/>
    <m/>
    <n v="32"/>
    <n v="187"/>
    <n v="5.84375"/>
    <x v="0"/>
    <x v="0"/>
    <s v="Host Families"/>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0"/>
    <s v="MMR001"/>
    <s v="Bhamo"/>
    <s v="MMR001D003"/>
    <x v="6"/>
    <s v="MMR001013"/>
    <m/>
    <m/>
    <m/>
    <m/>
    <x v="187"/>
    <x v="190"/>
    <x v="31"/>
    <m/>
    <m/>
    <n v="0"/>
    <n v="0"/>
    <s v="NA"/>
    <x v="0"/>
    <x v="0"/>
    <s v="Camp"/>
    <x v="2"/>
    <x v="11"/>
    <x v="4"/>
    <s v="IP"/>
    <d v="2014-03-03T00:00:00"/>
    <s v="Closed. Rellocated to Man Win and La Ga Yaung"/>
    <s v=""/>
    <s v=""/>
    <s v=""/>
  </r>
  <r>
    <x v="1"/>
    <x v="0"/>
    <s v="MMR001"/>
    <s v="Bhamo"/>
    <s v="MMR001D003"/>
    <x v="6"/>
    <s v="MMR001013"/>
    <m/>
    <m/>
    <m/>
    <m/>
    <x v="188"/>
    <x v="191"/>
    <x v="31"/>
    <m/>
    <m/>
    <n v="0"/>
    <n v="0"/>
    <s v="NA"/>
    <x v="0"/>
    <x v="0"/>
    <s v="Host Families"/>
    <x v="1"/>
    <x v="11"/>
    <x v="4"/>
    <s v="IP"/>
    <d v="2015-03-27T00:00:00"/>
    <s v="27-Mar-15 (Closed. Source: UNHCR-Bhamo)_x000a_New Camp"/>
    <s v=""/>
    <s v=""/>
    <s v=""/>
  </r>
  <r>
    <x v="1"/>
    <x v="0"/>
    <s v="MMR001"/>
    <s v="Bhamo"/>
    <s v="MMR001D003"/>
    <x v="6"/>
    <s v="MMR001013"/>
    <m/>
    <m/>
    <m/>
    <m/>
    <x v="189"/>
    <x v="192"/>
    <x v="31"/>
    <m/>
    <m/>
    <n v="0"/>
    <n v="0"/>
    <s v="NA"/>
    <x v="0"/>
    <x v="0"/>
    <s v="Rural"/>
    <x v="2"/>
    <x v="11"/>
    <x v="4"/>
    <s v="IP"/>
    <d v="2014-02-07T00:00:00"/>
    <s v="Source OCHA"/>
    <s v=""/>
    <s v=""/>
    <s v=""/>
  </r>
  <r>
    <x v="0"/>
    <x v="0"/>
    <s v="MMR001"/>
    <s v="Bhamo"/>
    <s v="MMR001D003"/>
    <x v="6"/>
    <s v="MMR001013"/>
    <s v="Maing Khaung"/>
    <s v="MMR001013007"/>
    <s v="Maing Khaung"/>
    <n v="167301"/>
    <x v="190"/>
    <x v="193"/>
    <x v="152"/>
    <n v="23.972453000000002"/>
    <n v="466"/>
    <n v="432"/>
    <n v="2149"/>
    <n v="4.9745370370370372"/>
    <x v="0"/>
    <x v="0"/>
    <s v="Camp"/>
    <x v="1"/>
    <x v="26"/>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6"/>
    <s v="MMR001013"/>
    <m/>
    <m/>
    <m/>
    <m/>
    <x v="191"/>
    <x v="194"/>
    <x v="31"/>
    <m/>
    <m/>
    <n v="0"/>
    <n v="0"/>
    <s v="NA"/>
    <x v="0"/>
    <x v="0"/>
    <s v="Camp"/>
    <x v="1"/>
    <x v="11"/>
    <x v="4"/>
    <s v="IP"/>
    <d v="2014-01-13T00:00:00"/>
    <s v="Close (Source: OCHA)"/>
    <s v=""/>
    <s v=""/>
    <s v=""/>
  </r>
  <r>
    <x v="1"/>
    <x v="0"/>
    <s v="MMR001"/>
    <s v="Puta-O"/>
    <s v="MMR001D004"/>
    <x v="9"/>
    <s v="MMR001014"/>
    <s v="Lang Taung"/>
    <s v="MMR001014009"/>
    <s v="Nawng Hkaing"/>
    <n v="167567"/>
    <x v="192"/>
    <x v="195"/>
    <x v="153"/>
    <n v="27.270199999999999"/>
    <n v="372.9"/>
    <n v="0"/>
    <n v="0"/>
    <s v="NA"/>
    <x v="0"/>
    <x v="0"/>
    <s v="Camp"/>
    <x v="1"/>
    <x v="21"/>
    <x v="4"/>
    <s v="IP"/>
    <d v="2014-03-27T00:00:00"/>
    <s v="25-Jun-15 (Relocated to Lone Sut)_x000a_Geo-Info, HH/Pop data received from MIRA Form"/>
    <s v="Machanbaw Town"/>
    <n v="1.7005689699647599"/>
    <n v="1"/>
  </r>
  <r>
    <x v="1"/>
    <x v="0"/>
    <s v="MMR001"/>
    <s v="Puta-O"/>
    <s v="MMR001D004"/>
    <x v="17"/>
    <s v="MMR001016"/>
    <m/>
    <m/>
    <m/>
    <m/>
    <x v="193"/>
    <x v="196"/>
    <x v="154"/>
    <n v="27.274059999999999"/>
    <n v="403"/>
    <m/>
    <m/>
    <s v="NA"/>
    <x v="0"/>
    <x v="0"/>
    <s v="Camp"/>
    <x v="1"/>
    <x v="27"/>
    <x v="4"/>
    <s v="IP"/>
    <d v="2015-06-25T00:00:00"/>
    <s v="25-Jun-15 (Relocate to Long Sut)_x000a_Geo-Info, HH/Pop data received from MIRA Form"/>
    <s v="Machanbaw Town"/>
    <n v="1.136583238544624"/>
    <n v="1"/>
  </r>
  <r>
    <x v="1"/>
    <x v="0"/>
    <s v="MMR001"/>
    <s v="Bhamo"/>
    <s v="MMR001D003"/>
    <x v="3"/>
    <s v="MMR001010"/>
    <m/>
    <m/>
    <m/>
    <m/>
    <x v="194"/>
    <x v="197"/>
    <x v="31"/>
    <m/>
    <m/>
    <m/>
    <m/>
    <s v="NA"/>
    <x v="0"/>
    <x v="0"/>
    <s v="Camp"/>
    <x v="0"/>
    <x v="11"/>
    <x v="4"/>
    <s v="IP"/>
    <d v="2014-03-04T00:00:00"/>
    <s v="Closed. Rellocated next to AD 2000 Tharthana Compound and CCCM is under AD 2000"/>
    <s v=""/>
    <s v=""/>
    <s v=""/>
  </r>
  <r>
    <x v="0"/>
    <x v="0"/>
    <s v="MMR001"/>
    <s v="Bhamo"/>
    <s v="MMR001D003"/>
    <x v="6"/>
    <s v="MMR001013"/>
    <s v="Maing Khaung"/>
    <s v="MMR001013007"/>
    <s v="Maing Khaung"/>
    <n v="167301"/>
    <x v="195"/>
    <x v="198"/>
    <x v="155"/>
    <n v="23.976571"/>
    <n v="478"/>
    <n v="169"/>
    <n v="775"/>
    <n v="4.5857988165680474"/>
    <x v="0"/>
    <x v="0"/>
    <s v="Camp"/>
    <x v="1"/>
    <x v="26"/>
    <x v="5"/>
    <s v="IP"/>
    <d v="2018-05-10T00:00:00"/>
    <s v="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96"/>
    <x v="199"/>
    <x v="156"/>
    <n v="24.229189999999999"/>
    <n v="126"/>
    <m/>
    <m/>
    <s v="NA"/>
    <x v="0"/>
    <x v="0"/>
    <s v="Camp"/>
    <x v="0"/>
    <x v="11"/>
    <x v="2"/>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97"/>
    <x v="200"/>
    <x v="157"/>
    <n v="25.645959999999999"/>
    <n v="1945"/>
    <n v="30"/>
    <n v="172"/>
    <n v="5.7333333333333334"/>
    <x v="0"/>
    <x v="0"/>
    <s v="Camp"/>
    <x v="0"/>
    <x v="20"/>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6"/>
    <s v="MMR001013"/>
    <s v="Dum Buk"/>
    <s v="MMR001013014"/>
    <s v="Dum Buk"/>
    <n v="167343"/>
    <x v="198"/>
    <x v="201"/>
    <x v="158"/>
    <n v="24.000250000000001"/>
    <m/>
    <m/>
    <m/>
    <s v="NA"/>
    <x v="1"/>
    <x v="0"/>
    <s v="Camp"/>
    <x v="1"/>
    <x v="3"/>
    <x v="5"/>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9"/>
    <s v="MMR001014"/>
    <s v="Lang Taung"/>
    <s v="MMR001014009"/>
    <s v="Inn Lel Yan"/>
    <n v="217032"/>
    <x v="199"/>
    <x v="202"/>
    <x v="159"/>
    <n v="27.248964999999998"/>
    <n v="398"/>
    <n v="10"/>
    <n v="56"/>
    <n v="5.6"/>
    <x v="0"/>
    <x v="0"/>
    <s v="Host Families"/>
    <x v="1"/>
    <x v="21"/>
    <x v="1"/>
    <s v="IP"/>
    <d v="2014-04-07T00:00:00"/>
    <s v="Not updated due to lack of access._x000a_New host families."/>
    <s v="Machanbaw Town"/>
    <n v="4.789460146835963"/>
    <n v="1"/>
  </r>
  <r>
    <x v="0"/>
    <x v="0"/>
    <s v="MMR001"/>
    <s v="Bhamo"/>
    <s v="MMR001D003"/>
    <x v="6"/>
    <s v="MMR001013"/>
    <s v="Man Wein"/>
    <s v="MMR001013021"/>
    <s v="Man Wein"/>
    <n v="167405"/>
    <x v="200"/>
    <x v="203"/>
    <x v="160"/>
    <n v="23.833477999999999"/>
    <n v="925"/>
    <n v="156"/>
    <n v="711"/>
    <n v="4.5576923076923075"/>
    <x v="0"/>
    <x v="0"/>
    <s v="Camp"/>
    <x v="1"/>
    <x v="28"/>
    <x v="5"/>
    <s v="IP"/>
    <d v="2018-05-10T00:00:00"/>
    <s v="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2"/>
    <s v="MMR001009"/>
    <s v="Nam Ma Hpyit"/>
    <s v="MMR001009002"/>
    <s v="Nam Ma Hpyit"/>
    <n v="166776"/>
    <x v="201"/>
    <x v="204"/>
    <x v="76"/>
    <n v="25.611160000000002"/>
    <m/>
    <n v="104"/>
    <n v="510"/>
    <n v="4.9038461538461542"/>
    <x v="0"/>
    <x v="0"/>
    <s v="Camp"/>
    <x v="0"/>
    <x v="17"/>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6"/>
    <s v="MMR001013"/>
    <s v="Man Wein"/>
    <s v="MMR001013021"/>
    <s v="Man Wein"/>
    <n v="167405"/>
    <x v="202"/>
    <x v="205"/>
    <x v="161"/>
    <n v="23.829599000000002"/>
    <m/>
    <n v="154"/>
    <n v="670"/>
    <n v="4.3506493506493502"/>
    <x v="0"/>
    <x v="0"/>
    <s v="Camp"/>
    <x v="1"/>
    <x v="29"/>
    <x v="0"/>
    <s v="IP"/>
    <d v="2018-05-15T00:00:00"/>
    <s v="10/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2"/>
    <s v="MMR001009"/>
    <s v="Lone Khin"/>
    <s v="MMR001009001"/>
    <s v="Ku Day"/>
    <n v="216877"/>
    <x v="203"/>
    <x v="206"/>
    <x v="162"/>
    <n v="25.806999999999999"/>
    <m/>
    <m/>
    <m/>
    <s v="NA"/>
    <x v="0"/>
    <x v="0"/>
    <s v="Camp"/>
    <x v="1"/>
    <x v="30"/>
    <x v="0"/>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204"/>
    <x v="207"/>
    <x v="163"/>
    <n v="24.996279999999999"/>
    <m/>
    <n v="27"/>
    <n v="121"/>
    <n v="4.4814814814814818"/>
    <x v="0"/>
    <x v="0"/>
    <s v="Host Families"/>
    <x v="0"/>
    <x v="23"/>
    <x v="1"/>
    <s v="IP"/>
    <d v="2017-04-24T00:00:00"/>
    <s v="24/Apr/2017: Population update. Data source: CCCM unit_x000a_19-Mar-2015 (WFP has been providing this host families since 2013.)"/>
    <s v="Hopin Town"/>
    <n v="0"/>
    <n v="1"/>
  </r>
  <r>
    <x v="0"/>
    <x v="0"/>
    <s v="MMR001"/>
    <s v="Mohnyin"/>
    <s v="MMR001D002"/>
    <x v="11"/>
    <s v="MMR001007"/>
    <s v="Mohnyin Town"/>
    <s v="MMR001007701"/>
    <m/>
    <m/>
    <x v="205"/>
    <x v="208"/>
    <x v="164"/>
    <n v="24.764959999999999"/>
    <m/>
    <n v="14"/>
    <n v="63"/>
    <n v="4.5"/>
    <x v="0"/>
    <x v="0"/>
    <s v="Host Families"/>
    <x v="0"/>
    <x v="23"/>
    <x v="1"/>
    <s v="IP"/>
    <d v="2017-04-24T00:00:00"/>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1"/>
    <s v="MMR015"/>
    <s v="Muse"/>
    <s v="MMR015D002"/>
    <x v="5"/>
    <s v="MMR015010"/>
    <s v="Nawng Hkam"/>
    <s v="MMR015010010"/>
    <s v="Nawng Hkam"/>
    <n v="208353"/>
    <x v="206"/>
    <x v="209"/>
    <x v="165"/>
    <n v="23.82152"/>
    <n v="813.4"/>
    <n v="0"/>
    <n v="0"/>
    <s v="NA"/>
    <x v="1"/>
    <x v="0"/>
    <s v="Camp"/>
    <x v="2"/>
    <x v="11"/>
    <x v="5"/>
    <s v="IP"/>
    <d v="2014-03-14T00:00:00"/>
    <s v="Closed. Source Cluster Coordinator"/>
    <s v=""/>
    <s v=""/>
    <s v=""/>
  </r>
  <r>
    <x v="0"/>
    <x v="0"/>
    <s v="MMR001"/>
    <s v="Puta-O"/>
    <s v="MMR001D004"/>
    <x v="9"/>
    <s v="MMR001014"/>
    <s v="Puta-O Town"/>
    <s v="MMR001014701"/>
    <s v="Lone Sut Ward"/>
    <s v="MMR001014701510"/>
    <x v="207"/>
    <x v="210"/>
    <x v="166"/>
    <n v="27.337499999999999"/>
    <m/>
    <n v="61"/>
    <n v="281"/>
    <n v="4.6065573770491799"/>
    <x v="0"/>
    <x v="0"/>
    <s v="Camp"/>
    <x v="0"/>
    <x v="3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208"/>
    <x v="211"/>
    <x v="167"/>
    <n v="25.225000000000001"/>
    <m/>
    <m/>
    <m/>
    <s v="NA"/>
    <x v="0"/>
    <x v="0"/>
    <s v="Host Families"/>
    <x v="1"/>
    <x v="32"/>
    <x v="4"/>
    <s v="RRD"/>
    <d v="2017-07-11T00:00:00"/>
    <s v="11/Jul/2017: Closed camp. No update information._x000a_25-Jun-2015 (New host families. Source: RRD)"/>
    <s v="Mogaung Town"/>
    <n v="5"/>
    <n v="2"/>
  </r>
  <r>
    <x v="0"/>
    <x v="0"/>
    <s v="MMR001"/>
    <s v="Mohnyin"/>
    <s v="MMR001D002"/>
    <x v="10"/>
    <s v="MMR001008"/>
    <s v="Sar Hmaw"/>
    <s v="MMR001008018"/>
    <s v="Sar Hmaw"/>
    <n v="166724"/>
    <x v="209"/>
    <x v="212"/>
    <x v="167"/>
    <n v="25.225000000000001"/>
    <m/>
    <n v="27"/>
    <n v="135"/>
    <n v="5"/>
    <x v="0"/>
    <x v="0"/>
    <s v="Camp"/>
    <x v="1"/>
    <x v="32"/>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10"/>
    <s v="MMR001008"/>
    <s v="Nawng Kaing Htaw"/>
    <s v="MMR001008002"/>
    <s v="Ma Haung"/>
    <n v="166676"/>
    <x v="210"/>
    <x v="213"/>
    <x v="71"/>
    <n v="25.299679999999999"/>
    <m/>
    <n v="6"/>
    <n v="31"/>
    <n v="5.166666666666667"/>
    <x v="0"/>
    <x v="0"/>
    <s v="Camp Like setting"/>
    <x v="0"/>
    <x v="32"/>
    <x v="4"/>
    <s v="IP"/>
    <d v="2017-06-29T00:00:00"/>
    <s v="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1"/>
    <s v="MMR015"/>
    <s v="Muse"/>
    <s v="MMR015D002"/>
    <x v="5"/>
    <s v="MMR015010"/>
    <s v="Nawng Hkam"/>
    <s v="MMR015010010"/>
    <s v="Nawng Hkam"/>
    <n v="208353"/>
    <x v="211"/>
    <x v="214"/>
    <x v="168"/>
    <n v="23.828520000000001"/>
    <n v="740"/>
    <n v="66"/>
    <n v="336"/>
    <n v="5.0909090909090908"/>
    <x v="0"/>
    <x v="0"/>
    <s v="Camp"/>
    <x v="0"/>
    <x v="13"/>
    <x v="0"/>
    <s v="IP"/>
    <d v="2018-05-15T00:00:00"/>
    <s v="10/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1"/>
    <s v="MMR015"/>
    <s v="Muse"/>
    <s v="MMR015D002"/>
    <x v="5"/>
    <s v="MMR015010"/>
    <s v="Nawng Hkam"/>
    <s v="MMR015010010"/>
    <s v="Nawng Hkam"/>
    <n v="208353"/>
    <x v="212"/>
    <x v="215"/>
    <x v="169"/>
    <n v="23.821380000000001"/>
    <n v="811.6"/>
    <n v="75"/>
    <n v="367"/>
    <n v="4.8933333333333335"/>
    <x v="0"/>
    <x v="0"/>
    <s v="Camp"/>
    <x v="0"/>
    <x v="33"/>
    <x v="0"/>
    <s v="IP"/>
    <d v="2018-05-15T00:00:00"/>
    <s v="10/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0"/>
    <s v="MMR001"/>
    <s v="Puta-O"/>
    <s v="MMR001D004"/>
    <x v="16"/>
    <s v="MMR001015"/>
    <m/>
    <m/>
    <m/>
    <m/>
    <x v="213"/>
    <x v="216"/>
    <x v="170"/>
    <n v="26.569633"/>
    <m/>
    <n v="126"/>
    <n v="779"/>
    <n v="6.1825396825396828"/>
    <x v="1"/>
    <x v="0"/>
    <s v="Camp"/>
    <x v="1"/>
    <x v="34"/>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6"/>
    <s v="MMR001015"/>
    <m/>
    <m/>
    <m/>
    <m/>
    <x v="214"/>
    <x v="217"/>
    <x v="171"/>
    <n v="26.548506"/>
    <m/>
    <n v="67"/>
    <n v="332"/>
    <n v="4.955223880597015"/>
    <x v="1"/>
    <x v="0"/>
    <s v="Camp"/>
    <x v="1"/>
    <x v="34"/>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15"/>
    <x v="218"/>
    <x v="172"/>
    <n v="24.613976000000001"/>
    <m/>
    <m/>
    <m/>
    <s v="NA"/>
    <x v="0"/>
    <x v="0"/>
    <s v="Boarding School"/>
    <x v="1"/>
    <x v="11"/>
    <x v="4"/>
    <s v="WFP"/>
    <d v="2017-07-11T00:00:00"/>
    <s v="11/Jul/2017: Closed camp. No update information since Nov 2015._x000a_9/Nov/2015. Population update. Data source: mail from WFP._x000a_New added Boarding School"/>
    <s v="Dawthponeyan  Town"/>
    <n v="0"/>
    <n v="1"/>
  </r>
  <r>
    <x v="0"/>
    <x v="1"/>
    <s v="MMR015"/>
    <s v="Muse"/>
    <s v="MMR015D002"/>
    <x v="15"/>
    <s v="MMR015011"/>
    <s v="Long Waun Nam Rein (Tarmoenye Sub-township)"/>
    <s v="MMR015011050"/>
    <s v="Mai Pong (Shu See)"/>
    <n v="219842"/>
    <x v="216"/>
    <x v="219"/>
    <x v="173"/>
    <n v="23.400155999999999"/>
    <n v="3109"/>
    <n v="42"/>
    <n v="234"/>
    <n v="5.5714285714285712"/>
    <x v="0"/>
    <x v="0"/>
    <s v="Camp"/>
    <x v="1"/>
    <x v="24"/>
    <x v="0"/>
    <s v="IP"/>
    <d v="2018-05-15T00:00:00"/>
    <s v="10/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Bhamo"/>
    <s v="MMR001D003"/>
    <x v="6"/>
    <s v="MMR001013"/>
    <s v="Mung Ding Pa"/>
    <s v="MMR001013038"/>
    <s v="Mung Ding Pa"/>
    <n v="167495"/>
    <x v="217"/>
    <x v="220"/>
    <x v="174"/>
    <n v="23.867000000000001"/>
    <m/>
    <m/>
    <m/>
    <s v="NA"/>
    <x v="1"/>
    <x v="0"/>
    <s v="Camp"/>
    <x v="2"/>
    <x v="11"/>
    <x v="4"/>
    <m/>
    <d v="2014-03-03T00:00:00"/>
    <s v="Closed. Same with (Namhkan St. Thomas 1)"/>
    <s v=""/>
    <s v=""/>
    <s v=""/>
  </r>
  <r>
    <x v="0"/>
    <x v="1"/>
    <s v="MMR015"/>
    <s v="Muse"/>
    <s v="MMR015D002"/>
    <x v="15"/>
    <s v="MMR015011"/>
    <s v="Nam Hpat Kar"/>
    <s v="MMR015011020"/>
    <s v="Nam Hpat Kar (Ho Pon + Pang Sa Lorp)"/>
    <n v="208696"/>
    <x v="218"/>
    <x v="221"/>
    <x v="175"/>
    <n v="23.694130000000001"/>
    <n v="1135.7"/>
    <n v="58"/>
    <n v="273"/>
    <n v="4.7068965517241379"/>
    <x v="0"/>
    <x v="0"/>
    <s v="Camp"/>
    <x v="1"/>
    <x v="13"/>
    <x v="0"/>
    <s v="IP"/>
    <d v="2018-05-15T00:00:00"/>
    <s v="10/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Myitkyina"/>
    <s v="MMR001D001"/>
    <x v="12"/>
    <s v="MMR001004"/>
    <s v="Wa Ra Zut"/>
    <s v="MMR001009009"/>
    <s v="Wa Ra Zut"/>
    <n v="166818"/>
    <x v="219"/>
    <x v="222"/>
    <x v="162"/>
    <n v="25.806999999999999"/>
    <m/>
    <m/>
    <m/>
    <s v="NA"/>
    <x v="0"/>
    <x v="0"/>
    <s v="Camp"/>
    <x v="1"/>
    <x v="35"/>
    <x v="4"/>
    <s v="IP"/>
    <d v="2017-07-11T00:00:00"/>
    <s v="11/Jul/2017: Change status into closed: Data source: KBC_x000a_25/Jul/2016: Added as new camp according to KBC data. Data was given by Jade"/>
    <s v="Hpakant Town"/>
    <n v="0"/>
    <n v="1"/>
  </r>
  <r>
    <x v="0"/>
    <x v="1"/>
    <s v="MMR015"/>
    <s v="Kyaukme"/>
    <s v="MMR015D003"/>
    <x v="18"/>
    <s v="MMR015019"/>
    <s v="Urban"/>
    <s v="MMR015019701"/>
    <s v="No (2) Ward"/>
    <s v="MMR015019701503"/>
    <x v="220"/>
    <x v="223"/>
    <x v="176"/>
    <n v="23.250678000000001"/>
    <n v="1250"/>
    <n v="33"/>
    <n v="182"/>
    <n v="5.5151515151515156"/>
    <x v="0"/>
    <x v="0"/>
    <s v="Camp"/>
    <x v="0"/>
    <x v="6"/>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2"/>
    <x v="13"/>
    <s v="MMR015009"/>
    <s v="Man Nway (Pang Hseng (Kyu Koke)) Sub-township"/>
    <s v="MMR015009036"/>
    <s v="Nam Hkawng Khu"/>
    <n v="208182"/>
    <x v="221"/>
    <x v="224"/>
    <x v="177"/>
    <n v="23.933098999999999"/>
    <n v="0"/>
    <n v="9"/>
    <n v="44"/>
    <n v="4.8888888888888893"/>
    <x v="1"/>
    <x v="0"/>
    <s v="Camp Like setting"/>
    <x v="1"/>
    <x v="24"/>
    <x v="4"/>
    <s v="IP"/>
    <d v="2017-06-02T00:00:00"/>
    <s v="Closed as of 1st of September 2017"/>
    <s v=""/>
    <s v=""/>
    <s v=""/>
  </r>
  <r>
    <x v="0"/>
    <x v="1"/>
    <s v="MMR015"/>
    <s v="Kyaukme"/>
    <s v="MMR015D003"/>
    <x v="19"/>
    <s v="MMR015015"/>
    <s v="Namtu Town"/>
    <s v="MMR015015701"/>
    <s v="Namtu Ward"/>
    <s v="MMR015015701501"/>
    <x v="222"/>
    <x v="225"/>
    <x v="178"/>
    <n v="23.094290000000001"/>
    <n v="534.29999999999995"/>
    <n v="41"/>
    <n v="179"/>
    <n v="4.3658536585365857"/>
    <x v="0"/>
    <x v="0"/>
    <s v="Camp"/>
    <x v="0"/>
    <x v="6"/>
    <x v="0"/>
    <s v="IP"/>
    <d v="2018-05-15T00:00:00"/>
    <s v="10/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Lashio"/>
    <s v="MMR015D001"/>
    <x v="20"/>
    <s v="MMR015002"/>
    <s v="Nar Tee"/>
    <s v="MMR015002029"/>
    <s v="Nar Tee"/>
    <n v="206422"/>
    <x v="223"/>
    <x v="226"/>
    <x v="179"/>
    <n v="23.372409999999999"/>
    <n v="617.6"/>
    <n v="67"/>
    <n v="392"/>
    <n v="5.8507462686567164"/>
    <x v="1"/>
    <x v="0"/>
    <s v="Host Families"/>
    <x v="1"/>
    <x v="25"/>
    <x v="1"/>
    <s v="IP"/>
    <d v="2014-03-01T00:00:00"/>
    <s v="Lack of access. Not updated since Mar/2014._x000a_Change to Host Families."/>
    <s v="Kunlong Town"/>
    <n v="30.037709702375544"/>
    <n v="7"/>
  </r>
  <r>
    <x v="1"/>
    <x v="0"/>
    <s v="MMR001"/>
    <s v="Mohnyin"/>
    <s v="MMR001D002"/>
    <x v="12"/>
    <s v="MMR001009"/>
    <s v="Wa Ra Zut"/>
    <s v="MMR001009009"/>
    <s v="Shar Du Zut"/>
    <n v="166819"/>
    <x v="224"/>
    <x v="227"/>
    <x v="180"/>
    <n v="25.920006000000001"/>
    <m/>
    <m/>
    <m/>
    <s v="NA"/>
    <x v="0"/>
    <x v="0"/>
    <s v="Camp"/>
    <x v="1"/>
    <x v="36"/>
    <x v="4"/>
    <s v="IP"/>
    <d v="2017-04-24T00:00:00"/>
    <s v="24/Apr/2017: Changed camp status as &quot;closed&quot;. Data source: KMSS_Myitkyina and CCCM unit._x000a_16/Sep/2016: New added camp. There no responsible organization."/>
    <s v="Hpakant Town"/>
    <n v="0"/>
    <n v="1"/>
  </r>
  <r>
    <x v="0"/>
    <x v="1"/>
    <s v="MMR015"/>
    <s v="Kyaukme"/>
    <s v="MMR015D003"/>
    <x v="18"/>
    <s v="MMR015019"/>
    <s v="Urban"/>
    <s v="MMR015019701"/>
    <s v="No (2) Ward"/>
    <s v="MMR015019701503"/>
    <x v="225"/>
    <x v="228"/>
    <x v="181"/>
    <n v="23.24661"/>
    <n v="87.3"/>
    <n v="29"/>
    <n v="171"/>
    <n v="5.8965517241379306"/>
    <x v="0"/>
    <x v="0"/>
    <s v="Camp"/>
    <x v="0"/>
    <x v="8"/>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9"/>
    <s v="MMR015015"/>
    <s v="Namtu Town"/>
    <s v="MMR015015701"/>
    <s v="Namtu Ward"/>
    <s v="MMR015015701501"/>
    <x v="226"/>
    <x v="229"/>
    <x v="182"/>
    <n v="23.088058"/>
    <n v="1948"/>
    <n v="118"/>
    <n v="520"/>
    <n v="4.406779661016949"/>
    <x v="0"/>
    <x v="0"/>
    <s v="Host Families"/>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5"/>
    <s v="MMR015011"/>
    <s v="Galeng"/>
    <m/>
    <s v="Galeng"/>
    <m/>
    <x v="227"/>
    <x v="230"/>
    <x v="31"/>
    <m/>
    <m/>
    <n v="0"/>
    <n v="0"/>
    <s v="NA"/>
    <x v="1"/>
    <x v="0"/>
    <s v="Camp"/>
    <x v="1"/>
    <x v="11"/>
    <x v="4"/>
    <s v="IP"/>
    <d v="2013-01-15T00:00:00"/>
    <s v="Close: Duplicate Camp (MMR015CMP020 - Zup Aung Camp) 21-Jan-14"/>
    <s v=""/>
    <s v=""/>
    <s v=""/>
  </r>
  <r>
    <x v="0"/>
    <x v="0"/>
    <s v="MMR001"/>
    <s v="Mohnyin"/>
    <s v="MMR001D002"/>
    <x v="12"/>
    <s v="MMR001009"/>
    <s v="Wa Ra Zut"/>
    <s v="MMR001009009"/>
    <s v="Shar Du Zut"/>
    <n v="166819"/>
    <x v="228"/>
    <x v="231"/>
    <x v="180"/>
    <n v="25.920006000000001"/>
    <m/>
    <n v="29"/>
    <n v="118"/>
    <n v="4.068965517241379"/>
    <x v="0"/>
    <x v="0"/>
    <s v="Camp"/>
    <x v="1"/>
    <x v="36"/>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2"/>
    <s v="MMR001009"/>
    <s v="Wa Ra Zut"/>
    <s v="MMR001009009"/>
    <s v="Shar Du Zut"/>
    <n v="166819"/>
    <x v="229"/>
    <x v="232"/>
    <x v="180"/>
    <n v="25.920006000000001"/>
    <m/>
    <m/>
    <m/>
    <s v="NA"/>
    <x v="0"/>
    <x v="0"/>
    <s v="Camp"/>
    <x v="1"/>
    <x v="36"/>
    <x v="4"/>
    <s v="IP"/>
    <d v="2017-04-24T00:00:00"/>
    <s v="24/Apr/2017: Changed camp status as &quot;closed&quot;. Data source: KMSS_Myitkyina and CCCM unit._x000a_16/Sep/2016: New added camp. There no responsible organization."/>
    <s v="Hpakant Town"/>
    <n v="0"/>
    <n v="1"/>
  </r>
  <r>
    <x v="0"/>
    <x v="0"/>
    <s v="MMR001"/>
    <s v="Mohnyin"/>
    <s v="MMR001D002"/>
    <x v="12"/>
    <s v="MMR001009"/>
    <s v="Wa Ra Zut"/>
    <s v="MMR001009009"/>
    <s v="Shar Du Zut"/>
    <n v="166819"/>
    <x v="230"/>
    <x v="233"/>
    <x v="180"/>
    <n v="25.920006000000001"/>
    <m/>
    <n v="5"/>
    <n v="13"/>
    <n v="2.6"/>
    <x v="0"/>
    <x v="0"/>
    <s v="Camp Like setting"/>
    <x v="1"/>
    <x v="36"/>
    <x v="1"/>
    <s v="IP"/>
    <d v="2018-03-27T00:00:00"/>
    <s v="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1"/>
    <s v="MMR015"/>
    <s v="Muse"/>
    <s v="MMR015D002"/>
    <x v="15"/>
    <s v="MMR015011"/>
    <s v="Galeng"/>
    <m/>
    <s v="Galeng"/>
    <m/>
    <x v="231"/>
    <x v="234"/>
    <x v="31"/>
    <m/>
    <m/>
    <n v="0"/>
    <n v="0"/>
    <s v="NA"/>
    <x v="1"/>
    <x v="0"/>
    <s v="Camp"/>
    <x v="1"/>
    <x v="11"/>
    <x v="4"/>
    <s v="IP"/>
    <d v="2013-01-15T00:00:00"/>
    <s v="Close: Duplicate Camp (MMR015CMP015 - Kone Khem Camp) 21-Jan-14"/>
    <s v=""/>
    <s v=""/>
    <s v=""/>
  </r>
  <r>
    <x v="0"/>
    <x v="1"/>
    <s v="MMR015"/>
    <s v="Muse"/>
    <s v="MMR015D002"/>
    <x v="15"/>
    <s v="MMR015011"/>
    <s v="Kutkai Town"/>
    <s v="MMR015011701"/>
    <s v="No (5) Ward"/>
    <s v="MMR015011701505"/>
    <x v="232"/>
    <x v="235"/>
    <x v="183"/>
    <n v="23.450914000000001"/>
    <n v="4336"/>
    <n v="56"/>
    <n v="264"/>
    <n v="4.7142857142857144"/>
    <x v="0"/>
    <x v="0"/>
    <s v="Camp"/>
    <x v="0"/>
    <x v="15"/>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5"/>
    <s v="MMR015011"/>
    <s v="Mong Yu"/>
    <s v="MMR015011030"/>
    <s v="Mong Yu"/>
    <n v="208747"/>
    <x v="233"/>
    <x v="236"/>
    <x v="184"/>
    <n v="23.588920000000002"/>
    <n v="1012.5"/>
    <n v="76"/>
    <n v="338"/>
    <n v="4.4473684210526319"/>
    <x v="0"/>
    <x v="0"/>
    <s v="Camp"/>
    <x v="1"/>
    <x v="23"/>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5"/>
    <s v="MMR015011"/>
    <s v="Kar Lai Kone Hsar"/>
    <s v="MMR015011005"/>
    <s v="Kar Lai"/>
    <n v="208557"/>
    <x v="234"/>
    <x v="237"/>
    <x v="185"/>
    <n v="23.38503"/>
    <n v="0"/>
    <n v="198"/>
    <n v="1008"/>
    <n v="5.0909090909090908"/>
    <x v="0"/>
    <x v="0"/>
    <s v="Camp"/>
    <x v="1"/>
    <x v="15"/>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3"/>
    <s v="MMR015009"/>
    <s v="Muse Town"/>
    <s v="MMR015009701"/>
    <s v="Ho Mun Ward"/>
    <s v="MMR015009701504"/>
    <x v="235"/>
    <x v="238"/>
    <x v="186"/>
    <n v="24.006319999999999"/>
    <n v="812.7"/>
    <n v="42"/>
    <n v="192"/>
    <n v="4.5714285714285712"/>
    <x v="0"/>
    <x v="0"/>
    <s v="Camp"/>
    <x v="0"/>
    <x v="37"/>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0"/>
    <s v="MMR001"/>
    <s v="Mohnyin"/>
    <s v="MMR001D002"/>
    <x v="12"/>
    <s v="MMR001009"/>
    <s v="Wa Ra Zut"/>
    <s v="MMR001009009"/>
    <s v="Shar Du Zut"/>
    <n v="166819"/>
    <x v="236"/>
    <x v="239"/>
    <x v="180"/>
    <n v="25.920006000000001"/>
    <m/>
    <n v="21"/>
    <n v="90"/>
    <n v="4.2857142857142856"/>
    <x v="0"/>
    <x v="0"/>
    <s v="Camp"/>
    <x v="1"/>
    <x v="36"/>
    <x v="3"/>
    <s v="IP"/>
    <d v="2018-05-10T00:00:00"/>
    <s v="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1"/>
    <s v="MMR015"/>
    <s v="Muse"/>
    <s v="MMR015D002"/>
    <x v="13"/>
    <s v="MMR015009"/>
    <s v="Muse Town"/>
    <s v="MMR015009701"/>
    <s v="Ho Mun Ward"/>
    <s v="MMR015009701504"/>
    <x v="237"/>
    <x v="240"/>
    <x v="187"/>
    <n v="24.006789000000001"/>
    <n v="814"/>
    <n v="18"/>
    <n v="80"/>
    <n v="4.4444444444444446"/>
    <x v="0"/>
    <x v="0"/>
    <s v="Camp"/>
    <x v="0"/>
    <x v="38"/>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5"/>
    <s v="MMR015011"/>
    <s v="Long Waun Nam Rein (Tarmoenye Sub-township)"/>
    <s v="MMR015011050"/>
    <s v="Mai Pong (Shu See)"/>
    <n v="219842"/>
    <x v="238"/>
    <x v="241"/>
    <x v="188"/>
    <n v="23.463000000000001"/>
    <m/>
    <n v="22"/>
    <n v="105"/>
    <n v="4.7727272727272725"/>
    <x v="0"/>
    <x v="0"/>
    <s v="Camp"/>
    <x v="1"/>
    <x v="24"/>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Muse"/>
    <s v="MMR015D002"/>
    <x v="5"/>
    <s v="MMR015010"/>
    <s v="Nawng Hkam"/>
    <s v="MMR015010010"/>
    <s v="Nawng Hkam"/>
    <n v="208353"/>
    <x v="239"/>
    <x v="242"/>
    <x v="189"/>
    <n v="23.841646999999998"/>
    <n v="798"/>
    <n v="38"/>
    <n v="200"/>
    <n v="5.2631578947368425"/>
    <x v="0"/>
    <x v="0"/>
    <s v="Camp"/>
    <x v="0"/>
    <x v="39"/>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5"/>
    <s v="MMR015011"/>
    <s v="Kar Lai Kone Hsar"/>
    <s v="MMR015011005"/>
    <m/>
    <m/>
    <x v="240"/>
    <x v="243"/>
    <x v="190"/>
    <n v="23.447111"/>
    <m/>
    <n v="105"/>
    <n v="568"/>
    <n v="5.4095238095238098"/>
    <x v="0"/>
    <x v="0"/>
    <s v="Camp Like setting"/>
    <x v="1"/>
    <x v="34"/>
    <x v="1"/>
    <s v="IP"/>
    <d v="2017-07-11T00:00:00"/>
    <s v="11/Jul/2017: Updated from UNOCHA, visited on March 2017 _x000a_9/Nov/15. New added camp. Data source: UNHCR CCCM officer NSS mission 8-12 July 2015."/>
    <m/>
    <s v=""/>
    <s v=""/>
  </r>
  <r>
    <x v="0"/>
    <x v="1"/>
    <s v="MMR015"/>
    <s v="Muse"/>
    <s v="MMR015D002"/>
    <x v="5"/>
    <s v="MMR015010"/>
    <s v="Ho Nar"/>
    <s v="MMR015010002"/>
    <s v="Pang Long"/>
    <n v="208338"/>
    <x v="241"/>
    <x v="244"/>
    <x v="191"/>
    <n v="23.838190000000001"/>
    <n v="829.8"/>
    <n v="126"/>
    <n v="575"/>
    <n v="4.5634920634920633"/>
    <x v="0"/>
    <x v="0"/>
    <s v="Camp"/>
    <x v="0"/>
    <x v="40"/>
    <x v="0"/>
    <s v="IP"/>
    <d v="2018-05-15T00:00:00"/>
    <s v="10/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Kyaukme"/>
    <s v="MMR015D003"/>
    <x v="19"/>
    <s v="MMR015015"/>
    <s v="Pang Long"/>
    <s v="MMR015015011"/>
    <s v="Pang Tha Pyay"/>
    <n v="210455"/>
    <x v="242"/>
    <x v="245"/>
    <x v="192"/>
    <n v="22.765999999999998"/>
    <m/>
    <n v="19"/>
    <n v="82"/>
    <n v="4.3157894736842106"/>
    <x v="0"/>
    <x v="0"/>
    <s v="Camp Like setting"/>
    <x v="1"/>
    <x v="35"/>
    <x v="1"/>
    <s v="IP"/>
    <d v="2016-07-25T00:00:00"/>
    <s v="25/Jul/2016: Added as new camp according to KBC data."/>
    <s v=""/>
    <s v=""/>
    <s v=""/>
  </r>
  <r>
    <x v="0"/>
    <x v="1"/>
    <s v="MMR015"/>
    <s v="Kyaukme"/>
    <s v="MMR015D003"/>
    <x v="18"/>
    <s v="MMR015019"/>
    <m/>
    <m/>
    <m/>
    <m/>
    <x v="243"/>
    <x v="246"/>
    <x v="31"/>
    <m/>
    <m/>
    <n v="36"/>
    <n v="188"/>
    <n v="5.2222222222222223"/>
    <x v="0"/>
    <x v="0"/>
    <s v="Camp Like setting"/>
    <x v="0"/>
    <x v="35"/>
    <x v="1"/>
    <s v="IP"/>
    <d v="2016-07-11T00:00:00"/>
    <s v="No agency has visited since Jul/2016, KBC to follow up._x000a_25/Jul/2016: Added as new camp according to KBC data. "/>
    <s v=""/>
    <s v=""/>
    <s v=""/>
  </r>
  <r>
    <x v="0"/>
    <x v="0"/>
    <s v="MMR001"/>
    <s v="Myitkyina"/>
    <s v="MMR001D001"/>
    <x v="1"/>
    <s v="MMR001002"/>
    <s v="Moke Lwe"/>
    <s v="MMR001002002"/>
    <s v="Khar Shi"/>
    <n v="216822"/>
    <x v="244"/>
    <x v="247"/>
    <x v="193"/>
    <n v="25.305008999999998"/>
    <m/>
    <n v="62"/>
    <n v="410"/>
    <n v="6.612903225806452"/>
    <x v="0"/>
    <x v="0"/>
    <s v="Camp Like setting"/>
    <x v="1"/>
    <x v="11"/>
    <x v="1"/>
    <s v="WV"/>
    <d v="2017-06-02T00:00:00"/>
    <s v="2/June/2017: New added camp. Data source: WASH cluster, WV (World Vision)."/>
    <s v="Waingmaw Town"/>
    <n v="0"/>
    <n v="1"/>
  </r>
  <r>
    <x v="0"/>
    <x v="0"/>
    <s v="MMR001"/>
    <s v="Myitkyina"/>
    <s v="MMR001D001"/>
    <x v="1"/>
    <s v="MMR001002"/>
    <s v="Sa Ma"/>
    <s v="MMR001002031"/>
    <s v="Par Jaung"/>
    <n v="165792"/>
    <x v="245"/>
    <x v="248"/>
    <x v="31"/>
    <m/>
    <m/>
    <n v="413"/>
    <n v="1913"/>
    <n v="4.6319612590799029"/>
    <x v="1"/>
    <x v="0"/>
    <s v="Camp"/>
    <x v="1"/>
    <x v="41"/>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1"/>
    <x v="1"/>
    <s v="MMR015"/>
    <s v="Muse"/>
    <s v="MMR015D002"/>
    <x v="5"/>
    <s v="MMR015010"/>
    <s v="Mong Wee"/>
    <s v="MMR015010036"/>
    <s v="Mong Wee"/>
    <n v="208469"/>
    <x v="246"/>
    <x v="249"/>
    <x v="194"/>
    <n v="23.611999999999998"/>
    <m/>
    <m/>
    <m/>
    <s v="NA"/>
    <x v="0"/>
    <x v="0"/>
    <s v="Camp"/>
    <x v="1"/>
    <x v="42"/>
    <x v="4"/>
    <s v="IP"/>
    <d v="2017-06-02T00:00:00"/>
    <s v="2/June/2017: Changed camp status as &quot;Closed&quot;. Data source: UNOCHA and confirmed by CCCM unit._x000a_25/Jul/2016: Added as new camp according to KBC data. Data was given by Jade"/>
    <s v=""/>
    <s v=""/>
    <s v=""/>
  </r>
  <r>
    <x v="0"/>
    <x v="1"/>
    <s v="MMR015"/>
    <s v="Muse"/>
    <s v="MMR015D002"/>
    <x v="5"/>
    <s v="MMR015010"/>
    <s v="Mong Wee"/>
    <s v="MMR015010036"/>
    <s v="Mong Wee"/>
    <n v="208469"/>
    <x v="247"/>
    <x v="250"/>
    <x v="195"/>
    <n v="23.611999999999998"/>
    <m/>
    <n v="61"/>
    <n v="276"/>
    <n v="4.5245901639344259"/>
    <x v="0"/>
    <x v="0"/>
    <s v="Camp Like setting"/>
    <x v="1"/>
    <x v="43"/>
    <x v="1"/>
    <s v="IP"/>
    <d v="2017-06-02T00:00:00"/>
    <s v="2/Jun/2017: Population update. Data source: WASH cluster._x000a_25/Jul/2016: Added as new camp according to KBC data. Data was given by Jade"/>
    <s v=""/>
    <s v=""/>
    <s v=""/>
  </r>
  <r>
    <x v="0"/>
    <x v="1"/>
    <s v="MMR015"/>
    <s v="Muse"/>
    <s v="MMR015D002"/>
    <x v="15"/>
    <s v="MMR015011"/>
    <s v="Nam Hpat Kar"/>
    <s v="MMR015011020"/>
    <s v="Aung Tha Pyay Ward"/>
    <m/>
    <x v="248"/>
    <x v="251"/>
    <x v="196"/>
    <n v="23.682887999999998"/>
    <m/>
    <n v="41"/>
    <n v="137"/>
    <n v="3.3414634146341462"/>
    <x v="0"/>
    <x v="0"/>
    <s v="Camp"/>
    <x v="0"/>
    <x v="42"/>
    <x v="6"/>
    <s v="IP"/>
    <d v="2018-05-10T00:00:00"/>
    <s v="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0"/>
    <s v="MMR015002"/>
    <s v="Kawng Wein"/>
    <s v="MMR015002026"/>
    <s v="Kawng Wein"/>
    <n v="206395"/>
    <x v="249"/>
    <x v="252"/>
    <x v="197"/>
    <n v="23.353999999999999"/>
    <m/>
    <m/>
    <m/>
    <s v="NA"/>
    <x v="0"/>
    <x v="0"/>
    <s v="Camp"/>
    <x v="0"/>
    <x v="43"/>
    <x v="4"/>
    <s v="IP"/>
    <d v="2017-07-11T00:00:00"/>
    <s v="11/Jul/2017: Camp status change into closed. KBC said Camp will be combine with Nam Sa Larp. DATA Source: KBC_x000a_25/Jul/2016: Added as new camp according to KBC data. Data was given by Jade"/>
    <s v=""/>
    <s v=""/>
    <s v=""/>
  </r>
  <r>
    <x v="0"/>
    <x v="1"/>
    <s v="MMR015"/>
    <s v="Muse"/>
    <s v="MMR015D002"/>
    <x v="15"/>
    <s v="MMR015011"/>
    <s v="Mung Hawm"/>
    <m/>
    <s v="Htoi San Yang "/>
    <m/>
    <x v="250"/>
    <x v="253"/>
    <x v="198"/>
    <n v="23.850999999999999"/>
    <m/>
    <n v="30"/>
    <n v="170"/>
    <n v="5.666666666666667"/>
    <x v="0"/>
    <x v="0"/>
    <s v="Camp Like setting"/>
    <x v="1"/>
    <x v="42"/>
    <x v="1"/>
    <s v="IP"/>
    <d v="2016-07-11T00:00:00"/>
    <s v="No update information since Jul/2016, KBC to follow up_x000a_25/Jul/2016: Added as new camp according to KBC data."/>
    <s v=""/>
    <s v=""/>
    <s v=""/>
  </r>
  <r>
    <x v="1"/>
    <x v="1"/>
    <s v="MMR015"/>
    <s v="Kyaukme"/>
    <s v="MMR015D003"/>
    <x v="19"/>
    <s v="MMR015015"/>
    <s v="Namtu Town"/>
    <s v="MMR015015701"/>
    <s v="Namtu Ward"/>
    <s v="MMR015015701501"/>
    <x v="251"/>
    <x v="254"/>
    <x v="199"/>
    <n v="23.099304"/>
    <m/>
    <m/>
    <m/>
    <s v="NA"/>
    <x v="0"/>
    <x v="0"/>
    <s v="Camp"/>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52"/>
    <x v="255"/>
    <x v="31"/>
    <m/>
    <m/>
    <n v="13"/>
    <n v="45"/>
    <n v="3.4615384615384617"/>
    <x v="0"/>
    <x v="0"/>
    <s v="Camp Like setting"/>
    <x v="0"/>
    <x v="11"/>
    <x v="4"/>
    <s v="IP"/>
    <d v="2017-01-17T00:00:00"/>
    <s v="Closed as of 1st of September 2017"/>
    <s v=""/>
    <s v=""/>
    <s v=""/>
  </r>
  <r>
    <x v="1"/>
    <x v="1"/>
    <s v="MMR015"/>
    <s v="Kyaukme"/>
    <s v="MMR015D003"/>
    <x v="19"/>
    <s v="MMR015015"/>
    <s v="Namtu Town"/>
    <s v="MMR015015701"/>
    <s v="Namtu Ward"/>
    <s v="MMR015015701501"/>
    <x v="253"/>
    <x v="256"/>
    <x v="31"/>
    <m/>
    <m/>
    <m/>
    <m/>
    <s v="NA"/>
    <x v="0"/>
    <x v="0"/>
    <s v="Camp"/>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54"/>
    <x v="257"/>
    <x v="31"/>
    <m/>
    <m/>
    <m/>
    <m/>
    <s v="NA"/>
    <x v="0"/>
    <x v="0"/>
    <s v="Camp"/>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9"/>
    <s v="MMR015015"/>
    <s v="Namtu Town"/>
    <s v="MMR015015701"/>
    <s v="Namtu Ward"/>
    <s v="MMR015015701501"/>
    <x v="255"/>
    <x v="258"/>
    <x v="31"/>
    <m/>
    <m/>
    <n v="43"/>
    <n v="223"/>
    <n v="5.1860465116279073"/>
    <x v="0"/>
    <x v="0"/>
    <s v="Camp"/>
    <x v="0"/>
    <x v="11"/>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1"/>
    <x v="1"/>
    <s v="MMR015"/>
    <s v="Muse"/>
    <s v="MMR015D002"/>
    <x v="13"/>
    <s v="MMR015009"/>
    <s v="Muse Town"/>
    <s v="MMR015009701"/>
    <s v="Ho Mun Ward"/>
    <s v="MMR015009701504"/>
    <x v="256"/>
    <x v="259"/>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Myauk Ward"/>
    <s v="MMR015009701505"/>
    <x v="257"/>
    <x v="260"/>
    <x v="31"/>
    <m/>
    <m/>
    <m/>
    <m/>
    <s v="NA"/>
    <x v="0"/>
    <x v="0"/>
    <s v="Camp"/>
    <x v="0"/>
    <x v="11"/>
    <x v="4"/>
    <m/>
    <d v="2017-01-17T00:00:00"/>
    <s v="17-01-2017: New added camp. Missing data will be collected from partners and present in next Report."/>
    <s v=""/>
    <s v=""/>
    <s v=""/>
  </r>
  <r>
    <x v="1"/>
    <x v="1"/>
    <s v="MMR015"/>
    <s v="Muse"/>
    <s v="MMR015D002"/>
    <x v="13"/>
    <s v="MMR015009"/>
    <s v="Muse Town"/>
    <s v="MMR015009701"/>
    <s v="Taung Ward"/>
    <s v="MMR015009701503"/>
    <x v="258"/>
    <x v="261"/>
    <x v="31"/>
    <m/>
    <m/>
    <m/>
    <m/>
    <s v="NA"/>
    <x v="0"/>
    <x v="0"/>
    <s v="Camp"/>
    <x v="0"/>
    <x v="11"/>
    <x v="4"/>
    <m/>
    <d v="2017-01-17T00:00:00"/>
    <s v="17-01-2017: New added camp. Missing data will be collected from partners and present in next Report."/>
    <s v=""/>
    <s v=""/>
    <s v=""/>
  </r>
  <r>
    <x v="1"/>
    <x v="1"/>
    <s v="MMR015"/>
    <s v="Muse"/>
    <s v="MMR015D002"/>
    <x v="13"/>
    <s v="MMR015009"/>
    <m/>
    <m/>
    <m/>
    <m/>
    <x v="259"/>
    <x v="262"/>
    <x v="31"/>
    <m/>
    <m/>
    <m/>
    <m/>
    <s v="NA"/>
    <x v="0"/>
    <x v="0"/>
    <s v="Camp"/>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Swei Taw Ward"/>
    <s v="MMR015009701507"/>
    <x v="260"/>
    <x v="263"/>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0"/>
    <x v="0"/>
    <s v="MMR001"/>
    <s v="Mohnyin"/>
    <s v="MMR001D002"/>
    <x v="12"/>
    <s v="MMR001009"/>
    <s v="Lone Khin"/>
    <s v="MMR001009001"/>
    <s v="Lel Pyin"/>
    <n v="220486"/>
    <x v="261"/>
    <x v="264"/>
    <x v="31"/>
    <m/>
    <m/>
    <n v="123"/>
    <n v="656"/>
    <n v="5.333333333333333"/>
    <x v="0"/>
    <x v="0"/>
    <s v="Camp"/>
    <x v="1"/>
    <x v="44"/>
    <x v="0"/>
    <s v="IP"/>
    <d v="2018-05-15T00:00:00"/>
    <s v="10/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1"/>
    <x v="1"/>
    <s v="MMR015"/>
    <s v="Muse"/>
    <s v="MMR015D002"/>
    <x v="13"/>
    <s v="MMR015009"/>
    <s v="Nam Pang"/>
    <s v="MMR015009001"/>
    <s v="Nam Hkon"/>
    <n v="208003"/>
    <x v="262"/>
    <x v="265"/>
    <x v="31"/>
    <m/>
    <m/>
    <m/>
    <m/>
    <s v="NA"/>
    <x v="0"/>
    <x v="0"/>
    <s v="Camp"/>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Ho Mun Ward"/>
    <s v="MMR015009701504"/>
    <x v="263"/>
    <x v="266"/>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m/>
    <m/>
    <x v="264"/>
    <x v="267"/>
    <x v="31"/>
    <m/>
    <m/>
    <m/>
    <m/>
    <s v="NA"/>
    <x v="0"/>
    <x v="0"/>
    <s v="Camp"/>
    <x v="2"/>
    <x v="11"/>
    <x v="4"/>
    <m/>
    <d v="2017-01-17T00:00:00"/>
    <s v="17-01-2017: New added camp. Missing data will be collected from partners and present in next Report."/>
    <s v=""/>
    <s v=""/>
    <s v=""/>
  </r>
  <r>
    <x v="1"/>
    <x v="1"/>
    <s v="MMR015"/>
    <s v="Muse"/>
    <s v="MMR015D002"/>
    <x v="13"/>
    <s v="MMR015009"/>
    <s v="Muse Town"/>
    <s v="MMR015009701"/>
    <s v="Ho Mun Ward"/>
    <s v="MMR015009701504"/>
    <x v="265"/>
    <x v="268"/>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0"/>
    <x v="1"/>
    <s v="MMR015"/>
    <s v="Lashio"/>
    <s v="MMR015D001"/>
    <x v="20"/>
    <s v="MMR015002"/>
    <s v="Nam Sa Larp"/>
    <s v="MMR015002021"/>
    <s v="Nam Sa Larp"/>
    <n v="206352"/>
    <x v="266"/>
    <x v="269"/>
    <x v="200"/>
    <n v="23.354268999999999"/>
    <m/>
    <n v="32"/>
    <n v="167"/>
    <n v="5.21875"/>
    <x v="0"/>
    <x v="0"/>
    <s v="Camp"/>
    <x v="1"/>
    <x v="34"/>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5"/>
    <s v="MMR015011"/>
    <s v="Mong Yu"/>
    <s v="MMR015011030"/>
    <s v="Mong Yu"/>
    <n v="208747"/>
    <x v="267"/>
    <x v="270"/>
    <x v="201"/>
    <n v="23.591999999999999"/>
    <m/>
    <n v="108"/>
    <n v="527"/>
    <n v="4.8796296296296298"/>
    <x v="0"/>
    <x v="0"/>
    <s v="Camp"/>
    <x v="1"/>
    <x v="45"/>
    <x v="0"/>
    <s v="IP"/>
    <d v="2018-05-15T00:00:00"/>
    <s v="10/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0"/>
    <s v="MMR001"/>
    <s v="Myitkyina"/>
    <s v="MMR001D001"/>
    <x v="21"/>
    <s v="MMR001004"/>
    <s v="Tanai Town"/>
    <s v="MMR001004701"/>
    <m/>
    <m/>
    <x v="268"/>
    <x v="271"/>
    <x v="31"/>
    <m/>
    <m/>
    <n v="30"/>
    <n v="130"/>
    <n v="4.333333333333333"/>
    <x v="0"/>
    <x v="0"/>
    <s v="Camp Like setting"/>
    <x v="0"/>
    <x v="46"/>
    <x v="1"/>
    <s v="IP"/>
    <s v="20-12-17"/>
    <m/>
    <s v="Tanai Town"/>
    <n v="0"/>
    <n v="1"/>
  </r>
  <r>
    <x v="0"/>
    <x v="0"/>
    <s v="MMR001"/>
    <s v="Myitkyina"/>
    <s v="MMR001D001"/>
    <x v="21"/>
    <s v="MMR001004"/>
    <s v="Tanai Town"/>
    <s v="MMR001004701"/>
    <m/>
    <m/>
    <x v="269"/>
    <x v="272"/>
    <x v="31"/>
    <m/>
    <m/>
    <n v="42"/>
    <n v="190"/>
    <n v="4.5238095238095237"/>
    <x v="0"/>
    <x v="0"/>
    <s v="Camp Like setting"/>
    <x v="0"/>
    <x v="46"/>
    <x v="1"/>
    <s v="IP"/>
    <s v="20-12-17"/>
    <m/>
    <s v="Tanai Town"/>
    <n v="0"/>
    <n v="1"/>
  </r>
  <r>
    <x v="0"/>
    <x v="0"/>
    <s v="MMR001"/>
    <s v="Myitkyina"/>
    <s v="MMR001D001"/>
    <x v="21"/>
    <s v="MMR001004"/>
    <s v="Tanai Town"/>
    <s v="MMR001004701"/>
    <m/>
    <m/>
    <x v="270"/>
    <x v="273"/>
    <x v="31"/>
    <m/>
    <m/>
    <n v="127"/>
    <n v="450"/>
    <n v="3.5433070866141732"/>
    <x v="0"/>
    <x v="0"/>
    <s v="Camp Like setting"/>
    <x v="0"/>
    <x v="46"/>
    <x v="1"/>
    <s v="IP"/>
    <s v="20-12-17"/>
    <m/>
    <s v="Tanai Town"/>
    <n v="0"/>
    <n v="1"/>
  </r>
  <r>
    <x v="0"/>
    <x v="0"/>
    <s v="MMR001"/>
    <s v="Myitkyina"/>
    <s v="MMR001D001"/>
    <x v="21"/>
    <s v="MMR001004"/>
    <s v="Tanai Town"/>
    <s v="MMR001004701"/>
    <m/>
    <m/>
    <x v="271"/>
    <x v="274"/>
    <x v="31"/>
    <m/>
    <m/>
    <n v="36"/>
    <n v="145"/>
    <n v="4.0277777777777777"/>
    <x v="0"/>
    <x v="0"/>
    <s v="Camp Like setting"/>
    <x v="0"/>
    <x v="46"/>
    <x v="1"/>
    <s v="IP"/>
    <s v="20-12-17"/>
    <m/>
    <s v="Tanai Town"/>
    <n v="0"/>
    <n v="1"/>
  </r>
  <r>
    <x v="1"/>
    <x v="1"/>
    <s v="MMR015"/>
    <s v="Muse"/>
    <s v="MMR015D002"/>
    <x v="13"/>
    <s v="MMR015009"/>
    <s v="Muse Town"/>
    <s v="MMR015009701"/>
    <s v="Ho Mun Ward"/>
    <s v="MMR015009701504"/>
    <x v="272"/>
    <x v="275"/>
    <x v="31"/>
    <m/>
    <m/>
    <m/>
    <m/>
    <s v="NA"/>
    <x v="0"/>
    <x v="0"/>
    <s v="Camp"/>
    <x v="0"/>
    <x v="11"/>
    <x v="4"/>
    <s v="IP"/>
    <d v="2017-04-06T00:00:00"/>
    <s v="6/Apr/2017: Changed camp status as &quot;closed&quot;. Data source: CCCM_UNHCR, comfirmed by partners (KBC)_x000a_17-01-2017: New added camp. Missing data will be collected from partners and present in next Report."/>
    <s v=""/>
    <s v=""/>
    <s v=""/>
  </r>
  <r>
    <x v="1"/>
    <x v="0"/>
    <s v="MMR001"/>
    <s v="Mohnyin"/>
    <s v="MMR001D002"/>
    <x v="10"/>
    <s v="MMR001008"/>
    <s v="Nammatee Town"/>
    <s v="MMR001008702"/>
    <s v="Myo Hla Ward"/>
    <s v="MMR001008702503"/>
    <x v="273"/>
    <x v="276"/>
    <x v="31"/>
    <m/>
    <m/>
    <n v="245"/>
    <n v="1084"/>
    <n v="4.4244897959183671"/>
    <x v="0"/>
    <x v="0"/>
    <s v="Camp Like setting"/>
    <x v="0"/>
    <x v="47"/>
    <x v="4"/>
    <s v="IP"/>
    <s v="31-08-17"/>
    <s v="IDPs returned"/>
    <s v=""/>
    <s v=""/>
    <s v=""/>
  </r>
  <r>
    <x v="0"/>
    <x v="0"/>
    <s v="MMR001"/>
    <s v="Myitkyina"/>
    <s v="MMR001D001"/>
    <x v="0"/>
    <s v="MMR001001"/>
    <s v="Myitkyina Town"/>
    <m/>
    <s v="Ka Bu Dam"/>
    <m/>
    <x v="274"/>
    <x v="277"/>
    <x v="31"/>
    <m/>
    <m/>
    <n v="19"/>
    <n v="46"/>
    <n v="2.4210526315789473"/>
    <x v="0"/>
    <x v="0"/>
    <s v="Camp Like setting"/>
    <x v="0"/>
    <x v="48"/>
    <x v="1"/>
    <s v="IP"/>
    <d v="2018-03-05T00:00:00"/>
    <s v="5/Mar/2018: Population update. Data source:  Camp manager _x000a_New displacement from Tingkawk_x000a_"/>
    <s v="Myitkyina Town"/>
    <n v="0"/>
    <n v="1"/>
  </r>
  <r>
    <x v="1"/>
    <x v="0"/>
    <s v="MMR001"/>
    <s v="Myitkyina"/>
    <s v="MMR001D001"/>
    <x v="0"/>
    <s v="MMR001001"/>
    <s v="Myitkyina Town"/>
    <m/>
    <s v="Pan Ma Ti Ward"/>
    <s v="MMR001001701528"/>
    <x v="275"/>
    <x v="278"/>
    <x v="31"/>
    <m/>
    <m/>
    <n v="25"/>
    <n v="69"/>
    <n v="2.76"/>
    <x v="0"/>
    <x v="0"/>
    <s v="Camp Like setting"/>
    <x v="0"/>
    <x v="49"/>
    <x v="1"/>
    <s v="IP"/>
    <s v="31-08-17"/>
    <s v="New displacement from Ka Sung"/>
    <s v=""/>
    <s v=""/>
    <s v=""/>
  </r>
  <r>
    <x v="0"/>
    <x v="0"/>
    <s v="MMR001"/>
    <s v="Waignmaw"/>
    <s v="MMR001D001"/>
    <x v="1"/>
    <s v="MMR001002"/>
    <s v="Sadung Town"/>
    <s v="MMR001002702"/>
    <s v="No (1) Ward"/>
    <s v="MMR001002702501"/>
    <x v="276"/>
    <x v="279"/>
    <x v="31"/>
    <m/>
    <m/>
    <n v="80"/>
    <n v="449"/>
    <n v="5.6124999999999998"/>
    <x v="0"/>
    <x v="0"/>
    <s v="Camp Like setting"/>
    <x v="1"/>
    <x v="50"/>
    <x v="1"/>
    <s v="IP"/>
    <d v="2017-10-31T00:00:00"/>
    <s v="UNHCR/DRC joint mission"/>
    <s v="Sadung Town"/>
    <n v="0"/>
    <n v="1"/>
  </r>
  <r>
    <x v="0"/>
    <x v="0"/>
    <s v="MMR001"/>
    <s v="Mohnyin"/>
    <s v="MMR001D002"/>
    <x v="10"/>
    <s v="MMR001008"/>
    <s v="Nammatee Town"/>
    <s v="MMR001008702"/>
    <s v="Myo Oo Ward"/>
    <s v="MMR001008702502"/>
    <x v="277"/>
    <x v="280"/>
    <x v="202"/>
    <n v="25.370330525559201"/>
    <m/>
    <n v="45"/>
    <n v="212"/>
    <n v="4.7111111111111112"/>
    <x v="0"/>
    <x v="0"/>
    <s v="Camp Like setting"/>
    <x v="0"/>
    <x v="51"/>
    <x v="1"/>
    <s v="IP"/>
    <d v="2018-05-21T00:00:00"/>
    <s v="21/May/2018: Added as new camp. Data source: MIRA (Multi Sector Assessment Team)"/>
    <s v="Panmatee Town"/>
    <n v="0.4"/>
    <n v="1"/>
  </r>
  <r>
    <x v="0"/>
    <x v="0"/>
    <s v="MMR001"/>
    <s v="Mohnyin"/>
    <s v="MMR001D002"/>
    <x v="10"/>
    <s v="MMR001008"/>
    <s v="Lan Gwa"/>
    <s v="MMR001008036"/>
    <s v="Lan Gwa"/>
    <n v="166765"/>
    <x v="278"/>
    <x v="281"/>
    <x v="203"/>
    <n v="25.383465999999999"/>
    <m/>
    <n v="89"/>
    <n v="372"/>
    <n v="4.1797752808988768"/>
    <x v="0"/>
    <x v="0"/>
    <s v="Camp Like setting"/>
    <x v="0"/>
    <x v="51"/>
    <x v="1"/>
    <s v="IP"/>
    <d v="2018-05-21T00:00:00"/>
    <s v="21/May/2018: Added as new camp. Data source: MIRA (Multi Sector Assessment Team)"/>
    <s v="Panmatee Town"/>
    <n v="0.4"/>
    <n v="1"/>
  </r>
  <r>
    <x v="0"/>
    <x v="0"/>
    <s v="MMR001"/>
    <s v="Mohnyin"/>
    <s v="MMR001D002"/>
    <x v="10"/>
    <s v="MMR001008"/>
    <s v="Lan Gwa"/>
    <s v="MMR001008036"/>
    <s v="Lan Gwa"/>
    <n v="166765"/>
    <x v="279"/>
    <x v="282"/>
    <x v="204"/>
    <n v="25.379014999999999"/>
    <m/>
    <n v="110"/>
    <n v="475"/>
    <n v="4.3181818181818183"/>
    <x v="0"/>
    <x v="0"/>
    <s v="Camp Like setting"/>
    <x v="0"/>
    <x v="51"/>
    <x v="1"/>
    <s v="IP"/>
    <d v="2018-05-21T00:00:00"/>
    <s v="21/May/2018: Added as new camp. Data source: MIRA (Multi Sector Assessment Team)"/>
    <s v="Panmatee Town"/>
    <n v="0.4"/>
    <n v="1"/>
  </r>
  <r>
    <x v="0"/>
    <x v="0"/>
    <s v="MMR001"/>
    <s v="Mohnyin"/>
    <s v="MMR001D002"/>
    <x v="10"/>
    <s v="MMR001008"/>
    <s v="Nammatee Town"/>
    <s v="MMR001008702"/>
    <s v="Myo Ma Ward"/>
    <s v="MMR001008702501"/>
    <x v="280"/>
    <x v="283"/>
    <x v="31"/>
    <m/>
    <m/>
    <n v="33"/>
    <n v="81"/>
    <n v="2.4545454545454546"/>
    <x v="0"/>
    <x v="0"/>
    <s v="Camp Like setting"/>
    <x v="0"/>
    <x v="51"/>
    <x v="1"/>
    <s v="IP"/>
    <d v="2018-05-21T00:00:00"/>
    <s v="21/May/2018: Added as new camp. Data source: MIRA (Multi Sector Assessment Team)"/>
    <s v="Panmatee Town"/>
    <n v="0.4"/>
    <n v="1"/>
  </r>
  <r>
    <x v="0"/>
    <x v="0"/>
    <s v="MMR001"/>
    <s v="Myitkyina"/>
    <s v="MMR001D001"/>
    <x v="0"/>
    <s v="MMR001001"/>
    <s v="Nawng Nang"/>
    <s v="MMR001001002"/>
    <s v="Ka War Hka"/>
    <n v="165682"/>
    <x v="281"/>
    <x v="284"/>
    <x v="205"/>
    <n v="25.480989999999998"/>
    <m/>
    <n v="157"/>
    <n v="749"/>
    <n v="4.7707006369426752"/>
    <x v="0"/>
    <x v="0"/>
    <s v="Camp Like setting"/>
    <x v="0"/>
    <x v="52"/>
    <x v="1"/>
    <s v="IP"/>
    <d v="2018-05-21T00:00:00"/>
    <s v="21/May/2018: Added as new camp. Data source: MIRA (Multi Sector Assessment Team)"/>
    <s v="Myitkyina Town"/>
    <n v="8"/>
    <n v="2"/>
  </r>
  <r>
    <x v="0"/>
    <x v="0"/>
    <s v="MMR001"/>
    <s v="Myitkyina"/>
    <s v="MMR001D001"/>
    <x v="0"/>
    <s v="MMR001001"/>
    <s v="Tang Hpre"/>
    <s v="MMR001001010"/>
    <s v="Tang Hpre"/>
    <n v="165704"/>
    <x v="282"/>
    <x v="285"/>
    <x v="206"/>
    <n v="25.717300000000002"/>
    <m/>
    <n v="215"/>
    <n v="1048"/>
    <n v="4.8744186046511624"/>
    <x v="0"/>
    <x v="0"/>
    <s v="Camp Like setting"/>
    <x v="1"/>
    <x v="52"/>
    <x v="1"/>
    <s v="IP"/>
    <d v="2018-05-21T00:00:00"/>
    <s v="21/May/2018: Added as new camp. Data source: MIRA (Multi Sector Assessment Team)"/>
    <s v="Myitkyina Town"/>
    <n v="27"/>
    <n v="6"/>
  </r>
  <r>
    <x v="1"/>
    <x v="1"/>
    <s v="MMR015"/>
    <s v="Muse"/>
    <s v="MMR015D002"/>
    <x v="13"/>
    <s v="MMR015009"/>
    <m/>
    <m/>
    <m/>
    <m/>
    <x v="283"/>
    <x v="286"/>
    <x v="31"/>
    <m/>
    <m/>
    <m/>
    <m/>
    <s v="NA"/>
    <x v="0"/>
    <x v="0"/>
    <s v="Camp"/>
    <x v="2"/>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84"/>
    <x v="287"/>
    <x v="207"/>
    <n v="22.677008000000001"/>
    <m/>
    <n v="37"/>
    <n v="120"/>
    <n v="3.2432432432432434"/>
    <x v="0"/>
    <x v="0"/>
    <s v="Camp Like setting"/>
    <x v="1"/>
    <x v="11"/>
    <x v="1"/>
    <s v="IP"/>
    <d v="2017-01-17T00:00:00"/>
    <s v="17-01-2017: New added camp. Missing data will be collected from partners and present in next Report."/>
    <s v=""/>
    <s v=""/>
    <s v=""/>
  </r>
  <r>
    <x v="0"/>
    <x v="1"/>
    <s v="MMR015"/>
    <s v="Muse"/>
    <s v="MMR015D002"/>
    <x v="15"/>
    <s v="MMR015011"/>
    <s v="Kutkai Town"/>
    <s v="MMR015011701"/>
    <s v="No (6) Ward"/>
    <s v="MMR015011701506"/>
    <x v="285"/>
    <x v="288"/>
    <x v="145"/>
    <n v="23.460349999999998"/>
    <m/>
    <n v="39"/>
    <n v="145"/>
    <n v="3.7179487179487181"/>
    <x v="0"/>
    <x v="0"/>
    <s v="Camp"/>
    <x v="0"/>
    <x v="53"/>
    <x v="0"/>
    <s v="IP"/>
    <d v="2018-05-15T00:00:00"/>
    <s v="10/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5"/>
    <s v="MMR015011"/>
    <s v="Kawng Hkar Man Pying"/>
    <s v="MMR015011002"/>
    <s v="Man Loi"/>
    <n v="208530"/>
    <x v="286"/>
    <x v="289"/>
    <x v="31"/>
    <m/>
    <m/>
    <n v="24"/>
    <n v="84"/>
    <n v="3.5"/>
    <x v="0"/>
    <x v="0"/>
    <s v="Camp Like setting"/>
    <x v="1"/>
    <x v="11"/>
    <x v="1"/>
    <s v="IP"/>
    <d v="2017-05-06T00:00:00"/>
    <s v="6/May/2017: New added camp. Data source: KBC. Camp was confirmed by CCCM unit. The missing informaiton will be updated as soon as possible."/>
    <s v=""/>
    <s v=""/>
    <s v=""/>
  </r>
  <r>
    <x v="0"/>
    <x v="1"/>
    <s v="MMR015"/>
    <s v="Muse"/>
    <s v="MMR015D002"/>
    <x v="13"/>
    <s v="MMR015009"/>
    <s v="Hpai Kawng (Pang Hseng-Kyu Koke Sub-township"/>
    <s v="MMR015009031"/>
    <s v="Hpai Kawng"/>
    <n v="208156"/>
    <x v="287"/>
    <x v="290"/>
    <x v="151"/>
    <n v="24.08738"/>
    <m/>
    <n v="153"/>
    <n v="781"/>
    <n v="5.1045751633986924"/>
    <x v="0"/>
    <x v="0"/>
    <s v="Camp"/>
    <x v="1"/>
    <x v="11"/>
    <x v="0"/>
    <s v="IP"/>
    <d v="2018-05-15T00:00:00"/>
    <s v="10/May/2018: Population update. Data source: KBC_x000a_30/Apr/2018: Population update. Data source: KBC_x000a_27/Mar/2018: Population update. Data source: KBC_x000a_5/Mar/2018: Population update. Data source: KBC_x000a_CCCM activities start in july 2017"/>
    <s v=""/>
    <s v=""/>
    <s v=""/>
  </r>
  <r>
    <x v="0"/>
    <x v="1"/>
    <m/>
    <s v="Muse"/>
    <m/>
    <x v="15"/>
    <m/>
    <s v="Pan Law"/>
    <m/>
    <s v="Pan Law"/>
    <m/>
    <x v="288"/>
    <x v="291"/>
    <x v="31"/>
    <m/>
    <m/>
    <n v="39"/>
    <n v="202"/>
    <n v="5.1794871794871797"/>
    <x v="0"/>
    <x v="0"/>
    <s v="Camp Like setting"/>
    <x v="1"/>
    <x v="35"/>
    <x v="1"/>
    <s v="IP"/>
    <d v="2017-09-30T00:00:00"/>
    <m/>
    <s v=""/>
    <s v=""/>
    <s v=""/>
  </r>
  <r>
    <x v="0"/>
    <x v="1"/>
    <s v="MMR015"/>
    <s v="Kyaukme"/>
    <s v="MMR015D003"/>
    <x v="19"/>
    <s v="MMR015015"/>
    <s v="Namtu Town"/>
    <s v="MMR015015701"/>
    <s v="Namtu Ward"/>
    <s v="MMR015015701501"/>
    <x v="289"/>
    <x v="292"/>
    <x v="199"/>
    <n v="23.099304"/>
    <m/>
    <n v="59"/>
    <n v="273"/>
    <n v="4.6271186440677967"/>
    <x v="0"/>
    <x v="0"/>
    <s v="Camp"/>
    <x v="0"/>
    <x v="54"/>
    <x v="6"/>
    <s v="IP"/>
    <d v="2018-05-10T00:00:00"/>
    <s v="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3" cacheId="23"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66">
      <pivotArea field="0" type="button" dataOnly="0" labelOnly="1" outline="0" axis="axisPage" fieldPosition="0"/>
    </format>
    <format dxfId="1165">
      <pivotArea dataOnly="0" labelOnly="1" outline="0" fieldPosition="0">
        <references count="1">
          <reference field="0" count="0"/>
        </references>
      </pivotArea>
    </format>
    <format dxfId="1164">
      <pivotArea type="all" dataOnly="0" outline="0" fieldPosition="0"/>
    </format>
    <format dxfId="116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297" firstHeaderRow="1" firstDataRow="1" firstDataCol="1"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198"/>
        <item x="199"/>
        <item x="200"/>
        <item x="201"/>
        <item x="202"/>
        <item x="203"/>
        <item x="204"/>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86"/>
        <item x="287"/>
        <item x="288"/>
        <item x="289"/>
        <item x="290"/>
        <item x="247"/>
        <item x="248"/>
        <item x="264"/>
        <item x="292"/>
        <item x="271"/>
        <item x="272"/>
        <item x="273"/>
        <item x="274"/>
        <item x="276"/>
        <item x="277"/>
        <item x="278"/>
        <item x="279"/>
        <item x="291"/>
        <item x="280"/>
        <item x="281"/>
        <item x="282"/>
        <item x="283"/>
        <item x="284"/>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96" firstHeaderRow="0" firstDataRow="1" firstDataCol="3" rowPageCount="1" colPageCount="1"/>
  <pivotFields count="31">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2"/>
        <item x="20"/>
        <item x="14"/>
        <item x="8"/>
        <item x="15"/>
        <item x="17"/>
        <item x="6"/>
        <item x="18"/>
        <item x="10"/>
        <item x="11"/>
        <item x="4"/>
        <item x="13"/>
        <item x="0"/>
        <item x="5"/>
        <item x="19"/>
        <item x="9"/>
        <item x="7"/>
        <item x="16"/>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0">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3"/>
        <item x="284"/>
        <item x="285"/>
        <item x="286"/>
        <item x="287"/>
        <item x="244"/>
        <item x="245"/>
        <item x="261"/>
        <item x="289"/>
        <item x="269"/>
        <item x="270"/>
        <item x="271"/>
        <item x="268"/>
        <item x="9"/>
        <item x="274"/>
        <item x="75"/>
        <item x="273"/>
        <item x="275"/>
        <item x="288"/>
        <item x="276"/>
        <item x="248"/>
        <item x="233"/>
        <item x="267"/>
        <item x="277"/>
        <item x="278"/>
        <item x="279"/>
        <item x="280"/>
        <item x="281"/>
        <item x="282"/>
      </items>
      <extLst>
        <ext xmlns:x14="http://schemas.microsoft.com/office/spreadsheetml/2009/9/main" uri="{2946ED86-A175-432a-8AC1-64E0C546D7DE}">
          <x14:pivotField fillDownLabels="1"/>
        </ext>
      </extLst>
    </pivotField>
    <pivotField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86"/>
        <item x="287"/>
        <item x="288"/>
        <item x="289"/>
        <item x="290"/>
        <item x="247"/>
        <item x="248"/>
        <item x="264"/>
        <item x="292"/>
        <item x="271"/>
        <item x="272"/>
        <item x="273"/>
        <item x="274"/>
        <item x="276"/>
        <item x="277"/>
        <item x="278"/>
        <item x="279"/>
        <item x="291"/>
        <item x="280"/>
        <item x="281"/>
        <item x="282"/>
        <item x="283"/>
        <item x="284"/>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93">
    <i>
      <x/>
      <x v="183"/>
      <x v="14"/>
    </i>
    <i>
      <x v="1"/>
      <x v="151"/>
      <x v="14"/>
    </i>
    <i>
      <x v="2"/>
      <x v="185"/>
      <x v="14"/>
    </i>
    <i>
      <x v="3"/>
      <x v="184"/>
      <x v="14"/>
    </i>
    <i>
      <x v="4"/>
      <x v="186"/>
      <x v="14"/>
    </i>
    <i>
      <x v="5"/>
      <x v="170"/>
      <x v="14"/>
    </i>
    <i>
      <x v="6"/>
      <x v="171"/>
      <x v="14"/>
    </i>
    <i>
      <x v="7"/>
      <x v="81"/>
      <x v="14"/>
    </i>
    <i>
      <x v="8"/>
      <x v="175"/>
      <x v="14"/>
    </i>
    <i>
      <x v="9"/>
      <x v="274"/>
      <x v="14"/>
    </i>
    <i>
      <x v="10"/>
      <x v="51"/>
      <x v="14"/>
    </i>
    <i>
      <x v="11"/>
      <x v="60"/>
      <x v="14"/>
    </i>
    <i>
      <x v="12"/>
      <x v="59"/>
      <x v="14"/>
    </i>
    <i>
      <x v="13"/>
      <x v="79"/>
      <x v="14"/>
    </i>
    <i>
      <x v="14"/>
      <x v="121"/>
      <x v="14"/>
    </i>
    <i>
      <x v="15"/>
      <x v="43"/>
      <x v="14"/>
    </i>
    <i>
      <x v="16"/>
      <x v="44"/>
      <x v="14"/>
    </i>
    <i>
      <x v="17"/>
      <x v="102"/>
      <x v="14"/>
    </i>
    <i>
      <x v="18"/>
      <x v="103"/>
      <x v="14"/>
    </i>
    <i>
      <x v="19"/>
      <x v="198"/>
      <x v="14"/>
    </i>
    <i>
      <x v="20"/>
      <x v="223"/>
      <x v="14"/>
    </i>
    <i>
      <x v="21"/>
      <x v="138"/>
      <x v="14"/>
    </i>
    <i>
      <x v="22"/>
      <x v="161"/>
      <x v="20"/>
    </i>
    <i>
      <x v="23"/>
      <x v="163"/>
      <x v="20"/>
    </i>
    <i>
      <x v="24"/>
      <x v="71"/>
      <x v="20"/>
    </i>
    <i>
      <x v="25"/>
      <x v="30"/>
      <x v="20"/>
    </i>
    <i>
      <x v="26"/>
      <x v="75"/>
      <x v="20"/>
    </i>
    <i>
      <x v="27"/>
      <x v="162"/>
      <x v="20"/>
    </i>
    <i>
      <x v="28"/>
      <x v="74"/>
      <x v="20"/>
    </i>
    <i>
      <x v="29"/>
      <x v="160"/>
      <x v="20"/>
    </i>
    <i>
      <x v="30"/>
      <x v="145"/>
      <x v="20"/>
    </i>
    <i>
      <x v="31"/>
      <x v="220"/>
      <x v="20"/>
    </i>
    <i>
      <x v="32"/>
      <x v="219"/>
      <x v="20"/>
    </i>
    <i>
      <x v="33"/>
      <x v="192"/>
      <x v="20"/>
    </i>
    <i>
      <x v="34"/>
      <x v="187"/>
      <x v="20"/>
    </i>
    <i>
      <x v="35"/>
      <x v="191"/>
      <x v="20"/>
    </i>
    <i>
      <x v="36"/>
      <x v="77"/>
      <x v="20"/>
    </i>
    <i>
      <x v="37"/>
      <x v="76"/>
      <x v="20"/>
    </i>
    <i>
      <x v="38"/>
      <x v="172"/>
      <x v="20"/>
    </i>
    <i>
      <x v="39"/>
      <x v="21"/>
      <x v="1"/>
    </i>
    <i>
      <x v="40"/>
      <x v="38"/>
      <x v="1"/>
    </i>
    <i>
      <x v="41"/>
      <x v="196"/>
      <x v="1"/>
    </i>
    <i>
      <x v="42"/>
      <x v="55"/>
      <x v="1"/>
    </i>
    <i>
      <x v="43"/>
      <x v="29"/>
      <x v="1"/>
    </i>
    <i>
      <x v="44"/>
      <x v="165"/>
      <x/>
    </i>
    <i>
      <x v="45"/>
      <x v="46"/>
      <x/>
    </i>
    <i>
      <x v="46"/>
      <x v="64"/>
      <x/>
    </i>
    <i>
      <x v="47"/>
      <x v="3"/>
      <x/>
    </i>
    <i>
      <x v="48"/>
      <x v="120"/>
      <x/>
    </i>
    <i>
      <x v="49"/>
      <x v="40"/>
      <x/>
    </i>
    <i>
      <x v="50"/>
      <x v="199"/>
      <x/>
    </i>
    <i>
      <x v="51"/>
      <x v="139"/>
      <x/>
    </i>
    <i>
      <x v="52"/>
      <x v="180"/>
      <x/>
    </i>
    <i>
      <x v="53"/>
      <x v="111"/>
      <x v="12"/>
    </i>
    <i>
      <x v="54"/>
      <x v="112"/>
      <x v="12"/>
    </i>
    <i>
      <x v="55"/>
      <x v="90"/>
      <x v="12"/>
    </i>
    <i>
      <x v="56"/>
      <x v="150"/>
      <x v="12"/>
    </i>
    <i>
      <x v="57"/>
      <x v="182"/>
      <x v="12"/>
    </i>
    <i>
      <x v="58"/>
      <x v="122"/>
      <x v="12"/>
    </i>
    <i>
      <x v="59"/>
      <x v="80"/>
      <x v="12"/>
    </i>
    <i>
      <x v="60"/>
      <x v="84"/>
      <x v="12"/>
    </i>
    <i>
      <x v="61"/>
      <x v="73"/>
      <x v="12"/>
    </i>
    <i>
      <x v="62"/>
      <x v="158"/>
      <x v="12"/>
    </i>
    <i>
      <x v="63"/>
      <x v="93"/>
      <x v="8"/>
    </i>
    <i>
      <x v="64"/>
      <x v="173"/>
      <x v="18"/>
    </i>
    <i>
      <x v="65"/>
      <x v="174"/>
      <x v="18"/>
    </i>
    <i>
      <x v="66"/>
      <x v="66"/>
      <x v="12"/>
    </i>
    <i>
      <x v="67"/>
      <x v="67"/>
      <x v="12"/>
    </i>
    <i>
      <x v="68"/>
      <x v="65"/>
      <x v="12"/>
    </i>
    <i>
      <x v="69"/>
      <x v="152"/>
      <x v="12"/>
    </i>
    <i>
      <x v="70"/>
      <x v="169"/>
      <x v="12"/>
    </i>
    <i>
      <x v="71"/>
      <x v="53"/>
      <x v="5"/>
    </i>
    <i>
      <x v="72"/>
      <x v="190"/>
      <x v="17"/>
    </i>
    <i>
      <x v="73"/>
      <x v="276"/>
      <x v="10"/>
    </i>
    <i>
      <x v="74"/>
      <x v="52"/>
      <x v="10"/>
    </i>
    <i>
      <x v="75"/>
      <x v="143"/>
      <x v="10"/>
    </i>
    <i>
      <x v="76"/>
      <x v="177"/>
      <x v="11"/>
    </i>
    <i>
      <x v="77"/>
      <x v="141"/>
      <x v="11"/>
    </i>
    <i>
      <x v="78"/>
      <x v="147"/>
      <x v="2"/>
    </i>
    <i>
      <x v="79"/>
      <x v="148"/>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8"/>
      <x v="2"/>
    </i>
    <i>
      <x v="96"/>
      <x v="156"/>
      <x v="2"/>
    </i>
    <i>
      <x v="97"/>
      <x v="140"/>
      <x v="2"/>
    </i>
    <i>
      <x v="98"/>
      <x v="168"/>
      <x v="2"/>
    </i>
    <i>
      <x v="99"/>
      <x v="200"/>
      <x v="2"/>
    </i>
    <i>
      <x v="100"/>
      <x v="104"/>
      <x v="2"/>
    </i>
    <i>
      <x v="101"/>
      <x v="69"/>
      <x v="2"/>
    </i>
    <i>
      <x v="102"/>
      <x v="166"/>
      <x v="2"/>
    </i>
    <i>
      <x v="103"/>
      <x v="19"/>
      <x v="2"/>
    </i>
    <i>
      <x v="104"/>
      <x v="181"/>
      <x v="2"/>
    </i>
    <i>
      <x v="105"/>
      <x v="224"/>
      <x v="20"/>
    </i>
    <i>
      <x v="106"/>
      <x v="17"/>
      <x v="20"/>
    </i>
    <i>
      <x v="107"/>
      <x v="16"/>
      <x v="20"/>
    </i>
    <i>
      <x v="108"/>
      <x v="31"/>
      <x v="20"/>
    </i>
    <i>
      <x v="109"/>
      <x v="195"/>
      <x v="20"/>
    </i>
    <i>
      <x v="110"/>
      <x v="221"/>
      <x v="20"/>
    </i>
    <i>
      <x v="111"/>
      <x v="89"/>
      <x v="20"/>
    </i>
    <i>
      <x v="112"/>
      <x v="72"/>
      <x v="20"/>
    </i>
    <i>
      <x v="113"/>
      <x v="222"/>
      <x v="20"/>
    </i>
    <i>
      <x v="114"/>
      <x v="45"/>
      <x v="12"/>
    </i>
    <i>
      <x v="115"/>
      <x v="39"/>
      <x v="12"/>
    </i>
    <i>
      <x v="116"/>
      <x v="24"/>
      <x v="12"/>
    </i>
    <i>
      <x v="117"/>
      <x v="154"/>
      <x v="12"/>
    </i>
    <i>
      <x v="118"/>
      <x v="56"/>
      <x v="8"/>
    </i>
    <i>
      <x v="119"/>
      <x v="18"/>
      <x v="8"/>
    </i>
    <i>
      <x v="120"/>
      <x v="149"/>
      <x v="12"/>
    </i>
    <i>
      <x v="121"/>
      <x v="87"/>
      <x v="8"/>
    </i>
    <i>
      <x v="122"/>
      <x v="86"/>
      <x v="8"/>
    </i>
    <i>
      <x v="123"/>
      <x v="88"/>
      <x v="8"/>
    </i>
    <i>
      <x v="124"/>
      <x v="68"/>
      <x v="8"/>
    </i>
    <i>
      <x v="125"/>
      <x v="123"/>
      <x v="8"/>
    </i>
    <i>
      <x v="126"/>
      <x v="134"/>
      <x v="8"/>
    </i>
    <i>
      <x v="127"/>
      <x v="58"/>
      <x v="4"/>
    </i>
    <i>
      <x v="128"/>
      <x v="57"/>
      <x v="14"/>
    </i>
    <i>
      <x v="129"/>
      <x v="32"/>
      <x v="2"/>
    </i>
    <i>
      <x v="130"/>
      <x v="146"/>
      <x v="11"/>
    </i>
    <i>
      <x v="131"/>
      <x v="22"/>
      <x/>
    </i>
    <i>
      <x v="132"/>
      <x v="159"/>
      <x v="20"/>
    </i>
    <i>
      <x v="133"/>
      <x v="153"/>
      <x v="14"/>
    </i>
    <i>
      <x v="134"/>
      <x v="35"/>
      <x/>
    </i>
    <i>
      <x v="135"/>
      <x v="63"/>
      <x v="2"/>
    </i>
    <i>
      <x v="136"/>
      <x v="2"/>
      <x v="2"/>
    </i>
    <i>
      <x v="137"/>
      <x v="13"/>
      <x v="2"/>
    </i>
    <i>
      <x v="138"/>
      <x v="8"/>
      <x v="2"/>
    </i>
    <i>
      <x v="139"/>
      <x/>
      <x v="2"/>
    </i>
    <i>
      <x v="140"/>
      <x v="15"/>
      <x v="2"/>
    </i>
    <i>
      <x v="141"/>
      <x v="6"/>
      <x v="2"/>
    </i>
    <i>
      <x v="142"/>
      <x v="23"/>
      <x v="2"/>
    </i>
    <i>
      <x v="143"/>
      <x v="197"/>
      <x v="2"/>
    </i>
    <i>
      <x v="144"/>
      <x v="4"/>
      <x v="2"/>
    </i>
    <i>
      <x v="145"/>
      <x v="119"/>
      <x v="2"/>
    </i>
    <i>
      <x v="146"/>
      <x v="110"/>
      <x v="2"/>
    </i>
    <i>
      <x v="147"/>
      <x v="1"/>
      <x v="2"/>
    </i>
    <i>
      <x v="148"/>
      <x v="25"/>
      <x v="2"/>
    </i>
    <i>
      <x v="149"/>
      <x v="62"/>
      <x v="2"/>
    </i>
    <i>
      <x v="150"/>
      <x v="164"/>
      <x v="2"/>
    </i>
    <i>
      <x v="151"/>
      <x v="167"/>
      <x v="2"/>
    </i>
    <i>
      <x v="152"/>
      <x v="194"/>
      <x v="2"/>
    </i>
    <i>
      <x v="153"/>
      <x v="193"/>
      <x v="2"/>
    </i>
    <i>
      <x v="154"/>
      <x v="26"/>
      <x v="2"/>
    </i>
    <i>
      <x v="155"/>
      <x v="14"/>
      <x v="2"/>
    </i>
    <i>
      <x v="156"/>
      <x v="34"/>
      <x v="2"/>
    </i>
    <i>
      <x v="157"/>
      <x v="5"/>
      <x v="2"/>
    </i>
    <i>
      <x v="158"/>
      <x v="33"/>
      <x v="2"/>
    </i>
    <i>
      <x v="159"/>
      <x v="135"/>
      <x v="2"/>
    </i>
    <i>
      <x v="160"/>
      <x v="157"/>
      <x/>
    </i>
    <i>
      <x v="161"/>
      <x v="7"/>
      <x/>
    </i>
    <i>
      <x v="162"/>
      <x v="61"/>
      <x v="1"/>
    </i>
    <i>
      <x v="163"/>
      <x v="35"/>
      <x v="8"/>
    </i>
    <i>
      <x v="164"/>
      <x v="35"/>
      <x v="12"/>
    </i>
    <i>
      <x v="165"/>
      <x v="85"/>
      <x v="12"/>
    </i>
    <i>
      <x v="166"/>
      <x v="35"/>
      <x v="18"/>
    </i>
    <i>
      <x v="167"/>
      <x v="47"/>
      <x v="12"/>
    </i>
    <i>
      <x v="168"/>
      <x v="201"/>
      <x v="2"/>
    </i>
    <i>
      <x v="169"/>
      <x v="54"/>
      <x v="8"/>
    </i>
    <i>
      <x v="170"/>
      <x v="116"/>
      <x v="8"/>
    </i>
    <i>
      <x v="171"/>
      <x v="132"/>
      <x v="8"/>
    </i>
    <i>
      <x v="172"/>
      <x v="179"/>
      <x v="19"/>
    </i>
    <i>
      <x v="173"/>
      <x v="41"/>
      <x v="20"/>
    </i>
    <i>
      <x v="174"/>
      <x v="133"/>
      <x v="8"/>
    </i>
    <i>
      <x v="175"/>
      <x v="155"/>
      <x v="1"/>
    </i>
    <i>
      <x v="176"/>
      <x v="189"/>
      <x/>
    </i>
    <i>
      <x v="177"/>
      <x v="82"/>
      <x v="8"/>
    </i>
    <i>
      <x v="178"/>
      <x v="83"/>
      <x v="8"/>
    </i>
    <i>
      <x v="179"/>
      <x v="12"/>
      <x v="8"/>
    </i>
    <i>
      <x v="180"/>
      <x v="10"/>
      <x v="8"/>
    </i>
    <i>
      <x v="181"/>
      <x v="11"/>
      <x v="8"/>
    </i>
    <i>
      <x v="182"/>
      <x v="42"/>
      <x v="8"/>
    </i>
    <i>
      <x v="183"/>
      <x v="78"/>
      <x v="8"/>
    </i>
    <i>
      <x v="184"/>
      <x v="176"/>
      <x v="8"/>
    </i>
    <i>
      <x v="185"/>
      <x v="144"/>
      <x v="17"/>
    </i>
    <i>
      <x v="186"/>
      <x v="70"/>
      <x v="7"/>
    </i>
    <i>
      <x v="187"/>
      <x v="178"/>
      <x/>
    </i>
    <i>
      <x v="188"/>
      <x v="125"/>
      <x v="15"/>
    </i>
    <i>
      <x v="189"/>
      <x v="128"/>
      <x v="15"/>
    </i>
    <i>
      <x v="190"/>
      <x v="126"/>
      <x v="15"/>
    </i>
    <i>
      <x v="191"/>
      <x v="124"/>
      <x v="15"/>
    </i>
    <i>
      <x v="192"/>
      <x v="114"/>
      <x v="13"/>
    </i>
    <i>
      <x v="193"/>
      <x v="117"/>
      <x v="6"/>
    </i>
    <i>
      <x v="194"/>
      <x v="131"/>
      <x v="6"/>
    </i>
    <i>
      <x v="195"/>
      <x v="91"/>
      <x v="9"/>
    </i>
    <i>
      <x v="196"/>
      <x v="36"/>
      <x v="13"/>
    </i>
    <i>
      <x v="197"/>
      <x v="130"/>
      <x v="13"/>
    </i>
    <i>
      <x v="198"/>
      <x v="113"/>
      <x v="13"/>
    </i>
    <i>
      <x v="199"/>
      <x v="136"/>
      <x v="16"/>
    </i>
    <i>
      <x v="200"/>
      <x v="48"/>
      <x v="6"/>
    </i>
    <i>
      <x v="201"/>
      <x v="49"/>
      <x v="6"/>
    </i>
    <i>
      <x v="202"/>
      <x v="50"/>
      <x v="6"/>
    </i>
    <i>
      <x v="203"/>
      <x v="282"/>
      <x v="6"/>
    </i>
    <i>
      <x v="204"/>
      <x v="118"/>
      <x v="6"/>
    </i>
    <i>
      <x v="205"/>
      <x v="202"/>
      <x v="6"/>
    </i>
    <i>
      <x v="206"/>
      <x v="37"/>
      <x v="13"/>
    </i>
    <i>
      <x v="207"/>
      <x v="127"/>
      <x v="15"/>
    </i>
    <i>
      <x v="208"/>
      <x v="129"/>
      <x v="13"/>
    </i>
    <i>
      <x v="209"/>
      <x v="142"/>
      <x v="3"/>
    </i>
    <i>
      <x v="210"/>
      <x v="92"/>
      <x v="9"/>
    </i>
    <i>
      <x v="211"/>
      <x v="137"/>
      <x v="16"/>
    </i>
    <i>
      <x v="212"/>
      <x v="27"/>
      <x v="6"/>
    </i>
    <i>
      <x v="213"/>
      <x v="28"/>
      <x v="6"/>
    </i>
    <i>
      <x v="214"/>
      <x v="203"/>
      <x v="8"/>
    </i>
    <i>
      <x v="215"/>
      <x v="205"/>
      <x/>
    </i>
    <i>
      <x v="216"/>
      <x v="204"/>
      <x v="1"/>
    </i>
    <i>
      <x v="217"/>
      <x v="206"/>
      <x v="8"/>
    </i>
    <i>
      <x v="218"/>
      <x v="207"/>
      <x v="17"/>
    </i>
    <i>
      <x v="219"/>
      <x v="208"/>
      <x v="13"/>
    </i>
    <i>
      <x v="220"/>
      <x v="209"/>
      <x v="15"/>
    </i>
    <i>
      <x v="221"/>
      <x v="213"/>
      <x v="15"/>
    </i>
    <i>
      <x v="222"/>
      <x v="210"/>
      <x v="8"/>
    </i>
    <i>
      <x v="223"/>
      <x v="211"/>
      <x v="13"/>
    </i>
    <i>
      <x v="224"/>
      <x v="212"/>
      <x v="2"/>
    </i>
    <i>
      <x v="225"/>
      <x v="214"/>
      <x v="8"/>
    </i>
    <i>
      <x v="226"/>
      <x v="215"/>
      <x v="6"/>
    </i>
    <i>
      <x v="227"/>
      <x v="216"/>
      <x v="2"/>
    </i>
    <i>
      <x v="228"/>
      <x v="217"/>
      <x v="11"/>
    </i>
    <i>
      <x v="229"/>
      <x v="218"/>
      <x v="11"/>
    </i>
    <i>
      <x v="230"/>
      <x v="226"/>
      <x v="3"/>
    </i>
    <i>
      <x v="231"/>
      <x v="225"/>
      <x v="17"/>
    </i>
    <i>
      <x v="232"/>
      <x v="227"/>
      <x v="10"/>
    </i>
    <i>
      <x v="233"/>
      <x v="228"/>
      <x v="10"/>
    </i>
    <i>
      <x v="234"/>
      <x v="229"/>
      <x v="10"/>
    </i>
    <i>
      <x v="235"/>
      <x v="230"/>
      <x v="19"/>
    </i>
    <i>
      <x v="236"/>
      <x v="231"/>
      <x v="19"/>
    </i>
    <i>
      <x v="237"/>
      <x v="232"/>
      <x v="12"/>
    </i>
    <i>
      <x v="238"/>
      <x v="233"/>
      <x v="6"/>
    </i>
    <i>
      <x v="239"/>
      <x v="234"/>
      <x v="2"/>
    </i>
    <i>
      <x v="240"/>
      <x v="115"/>
      <x v="8"/>
    </i>
    <i>
      <x v="241"/>
      <x v="283"/>
      <x v="6"/>
    </i>
    <i>
      <x v="242"/>
      <x v="237"/>
      <x v="16"/>
    </i>
    <i>
      <x v="243"/>
      <x v="238"/>
      <x v="9"/>
    </i>
    <i>
      <x v="244"/>
      <x v="235"/>
      <x v="15"/>
    </i>
    <i>
      <x v="245"/>
      <x v="236"/>
      <x v="15"/>
    </i>
    <i>
      <x v="246"/>
      <x v="281"/>
      <x v="6"/>
    </i>
    <i>
      <x v="247"/>
      <x v="239"/>
      <x v="3"/>
    </i>
    <i>
      <x v="248"/>
      <x v="240"/>
      <x v="6"/>
    </i>
    <i>
      <x v="249"/>
      <x v="241"/>
      <x v="2"/>
    </i>
    <i>
      <x v="250"/>
      <x v="242"/>
      <x v="2"/>
    </i>
    <i>
      <x v="251"/>
      <x v="243"/>
      <x v="2"/>
    </i>
    <i>
      <x v="252"/>
      <x v="244"/>
      <x v="2"/>
    </i>
    <i>
      <x v="253"/>
      <x v="245"/>
      <x v="2"/>
    </i>
    <i>
      <x v="254"/>
      <x v="246"/>
      <x v="16"/>
    </i>
    <i>
      <x v="255"/>
      <x v="247"/>
      <x v="16"/>
    </i>
    <i>
      <x v="256"/>
      <x v="248"/>
      <x v="16"/>
    </i>
    <i>
      <x v="257"/>
      <x v="249"/>
      <x v="16"/>
    </i>
    <i>
      <x v="258"/>
      <x v="250"/>
      <x v="16"/>
    </i>
    <i>
      <x v="259"/>
      <x v="251"/>
      <x v="13"/>
    </i>
    <i>
      <x v="260"/>
      <x v="252"/>
      <x v="13"/>
    </i>
    <i>
      <x v="261"/>
      <x v="253"/>
      <x v="13"/>
    </i>
    <i>
      <x v="262"/>
      <x v="254"/>
      <x v="13"/>
    </i>
    <i>
      <x v="263"/>
      <x v="255"/>
      <x v="13"/>
    </i>
    <i>
      <x v="264"/>
      <x v="256"/>
      <x v="13"/>
    </i>
    <i>
      <x v="265"/>
      <x v="257"/>
      <x v="13"/>
    </i>
    <i>
      <x v="266"/>
      <x v="258"/>
      <x v="13"/>
    </i>
    <i>
      <x v="267"/>
      <x v="259"/>
      <x v="13"/>
    </i>
    <i>
      <x v="268"/>
      <x v="260"/>
      <x v="13"/>
    </i>
    <i>
      <x v="269"/>
      <x v="261"/>
      <x v="13"/>
    </i>
    <i>
      <x v="270"/>
      <x v="262"/>
      <x v="21"/>
    </i>
    <i>
      <x v="271"/>
      <x v="263"/>
      <x v="6"/>
    </i>
    <i>
      <x v="272"/>
      <x v="264"/>
      <x v="6"/>
    </i>
    <i>
      <x v="273"/>
      <x v="265"/>
      <x v="13"/>
    </i>
    <i>
      <x v="274"/>
      <x v="266"/>
      <x v="20"/>
    </i>
    <i>
      <x v="275"/>
      <x v="267"/>
      <x v="20"/>
    </i>
    <i>
      <x v="276"/>
      <x v="268"/>
      <x v="2"/>
    </i>
    <i>
      <x v="277"/>
      <x v="269"/>
      <x v="16"/>
    </i>
    <i>
      <x v="278"/>
      <x v="273"/>
      <x v="22"/>
    </i>
    <i>
      <x v="279"/>
      <x v="270"/>
      <x v="22"/>
    </i>
    <i>
      <x v="280"/>
      <x v="271"/>
      <x v="22"/>
    </i>
    <i>
      <x v="281"/>
      <x v="272"/>
      <x v="22"/>
    </i>
    <i>
      <x v="282"/>
      <x v="277"/>
      <x v="10"/>
    </i>
    <i>
      <x v="283"/>
      <x v="275"/>
      <x v="14"/>
    </i>
    <i>
      <x v="284"/>
      <x v="278"/>
      <x v="14"/>
    </i>
    <i>
      <x v="285"/>
      <x v="280"/>
      <x v="20"/>
    </i>
    <i>
      <x v="286"/>
      <x v="279"/>
      <x v="6"/>
    </i>
    <i>
      <x v="287"/>
      <x v="284"/>
      <x v="10"/>
    </i>
    <i>
      <x v="288"/>
      <x v="285"/>
      <x v="10"/>
    </i>
    <i>
      <x v="289"/>
      <x v="286"/>
      <x v="10"/>
    </i>
    <i>
      <x v="290"/>
      <x v="287"/>
      <x v="10"/>
    </i>
    <i>
      <x v="291"/>
      <x v="288"/>
      <x v="14"/>
    </i>
    <i>
      <x v="292"/>
      <x v="289"/>
      <x v="14"/>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96" firstHeaderRow="1" firstDataRow="1" firstDataCol="4"/>
  <pivotFields count="31">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0">
        <item x="145"/>
        <item x="153"/>
        <item x="142"/>
        <item x="224"/>
        <item x="47"/>
        <item x="275"/>
        <item x="150"/>
        <item x="163"/>
        <item x="147"/>
        <item x="260"/>
        <item x="167"/>
        <item x="144"/>
        <item x="88"/>
        <item x="265"/>
        <item x="272"/>
        <item x="187"/>
        <item x="188"/>
        <item x="185"/>
        <item x="143"/>
        <item x="161"/>
        <item x="146"/>
        <item x="113"/>
        <item x="112"/>
        <item x="125"/>
        <item x="198"/>
        <item x="109"/>
        <item x="84"/>
        <item x="39"/>
        <item x="137"/>
        <item x="215"/>
        <item x="148"/>
        <item x="9"/>
        <item x="122"/>
        <item x="154"/>
        <item x="280"/>
        <item x="160"/>
        <item x="227"/>
        <item x="231"/>
        <item x="43"/>
        <item x="264"/>
        <item x="244"/>
        <item x="25"/>
        <item x="114"/>
        <item x="135"/>
        <item x="164"/>
        <item x="162"/>
        <item x="204"/>
        <item x="140"/>
        <item x="97"/>
        <item x="287"/>
        <item x="186"/>
        <item x="201"/>
        <item x="40"/>
        <item x="121"/>
        <item x="49"/>
        <item x="178"/>
        <item x="189"/>
        <item x="199"/>
        <item x="15"/>
        <item x="16"/>
        <item x="120"/>
        <item x="259"/>
        <item x="274"/>
        <item x="258"/>
        <item x="45"/>
        <item x="256"/>
        <item x="170"/>
        <item x="171"/>
        <item x="203"/>
        <item x="232"/>
        <item x="285"/>
        <item x="176"/>
        <item x="289"/>
        <item x="10"/>
        <item x="76"/>
        <item x="73"/>
        <item x="173"/>
        <item x="116"/>
        <item x="279"/>
        <item x="278"/>
        <item x="42"/>
        <item x="124"/>
        <item x="134"/>
        <item x="133"/>
        <item x="261"/>
        <item x="12"/>
        <item x="11"/>
        <item x="168"/>
        <item x="155"/>
        <item x="141"/>
        <item x="46"/>
        <item x="255"/>
        <item x="70"/>
        <item x="68"/>
        <item x="69"/>
        <item x="130"/>
        <item x="207"/>
        <item x="75"/>
        <item x="210"/>
        <item x="107"/>
        <item x="193"/>
        <item x="24"/>
        <item x="118"/>
        <item x="63"/>
        <item x="267"/>
        <item x="28"/>
        <item x="26"/>
        <item x="37"/>
        <item x="36"/>
        <item x="190"/>
        <item x="195"/>
        <item x="13"/>
        <item x="61"/>
        <item x="7"/>
        <item x="284"/>
        <item x="182"/>
        <item x="183"/>
        <item x="286"/>
        <item x="62"/>
        <item x="243"/>
        <item x="169"/>
        <item x="128"/>
        <item x="202"/>
        <item x="127"/>
        <item x="200"/>
        <item x="129"/>
        <item x="117"/>
        <item x="57"/>
        <item x="220"/>
        <item x="225"/>
        <item x="65"/>
        <item x="91"/>
        <item x="89"/>
        <item x="93"/>
        <item x="95"/>
        <item x="96"/>
        <item x="92"/>
        <item x="98"/>
        <item x="94"/>
        <item x="17"/>
        <item x="18"/>
        <item x="106"/>
        <item x="86"/>
        <item x="83"/>
        <item x="82"/>
        <item x="87"/>
        <item x="85"/>
        <item x="152"/>
        <item x="233"/>
        <item x="205"/>
        <item x="32"/>
        <item x="53"/>
        <item x="55"/>
        <item x="257"/>
        <item x="247"/>
        <item x="246"/>
        <item x="101"/>
        <item x="90"/>
        <item x="217"/>
        <item x="174"/>
        <item x="250"/>
        <item x="216"/>
        <item x="238"/>
        <item x="184"/>
        <item x="151"/>
        <item x="235"/>
        <item x="237"/>
        <item x="48"/>
        <item x="236"/>
        <item x="14"/>
        <item x="277"/>
        <item x="60"/>
        <item x="131"/>
        <item x="212"/>
        <item x="211"/>
        <item x="239"/>
        <item x="56"/>
        <item x="206"/>
        <item x="54"/>
        <item x="221"/>
        <item x="99"/>
        <item x="218"/>
        <item x="248"/>
        <item x="175"/>
        <item x="179"/>
        <item x="132"/>
        <item x="165"/>
        <item x="266"/>
        <item x="222"/>
        <item x="226"/>
        <item x="241"/>
        <item x="262"/>
        <item x="273"/>
        <item x="253"/>
        <item x="254"/>
        <item x="252"/>
        <item x="21"/>
        <item x="51"/>
        <item x="103"/>
        <item x="79"/>
        <item x="223"/>
        <item x="77"/>
        <item x="192"/>
        <item x="30"/>
        <item x="136"/>
        <item x="31"/>
        <item x="213"/>
        <item x="240"/>
        <item x="80"/>
        <item x="81"/>
        <item x="126"/>
        <item x="58"/>
        <item x="1"/>
        <item x="71"/>
        <item x="139"/>
        <item x="123"/>
        <item x="119"/>
        <item x="288"/>
        <item x="242"/>
        <item x="180"/>
        <item x="102"/>
        <item x="166"/>
        <item x="64"/>
        <item x="138"/>
        <item x="29"/>
        <item x="22"/>
        <item x="27"/>
        <item x="23"/>
        <item x="156"/>
        <item x="44"/>
        <item x="108"/>
        <item x="276"/>
        <item x="157"/>
        <item x="214"/>
        <item x="104"/>
        <item x="208"/>
        <item x="209"/>
        <item x="197"/>
        <item x="72"/>
        <item x="245"/>
        <item x="228"/>
        <item x="230"/>
        <item x="5"/>
        <item x="6"/>
        <item x="38"/>
        <item x="66"/>
        <item x="67"/>
        <item x="251"/>
        <item x="8"/>
        <item x="191"/>
        <item x="78"/>
        <item x="194"/>
        <item x="263"/>
        <item x="177"/>
        <item x="52"/>
        <item x="269"/>
        <item x="271"/>
        <item x="270"/>
        <item x="268"/>
        <item x="282"/>
        <item x="110"/>
        <item x="59"/>
        <item x="0"/>
        <item x="20"/>
        <item x="3"/>
        <item x="2"/>
        <item x="4"/>
        <item x="229"/>
        <item x="34"/>
        <item x="196"/>
        <item x="100"/>
        <item x="181"/>
        <item x="74"/>
        <item x="281"/>
        <item x="249"/>
        <item x="35"/>
        <item x="33"/>
        <item x="219"/>
        <item x="159"/>
        <item x="158"/>
        <item x="283"/>
        <item x="115"/>
        <item x="41"/>
        <item x="149"/>
        <item x="19"/>
        <item x="50"/>
        <item x="105"/>
        <item x="111"/>
        <item x="172"/>
        <item x="234"/>
      </items>
      <extLst>
        <ext xmlns:x14="http://schemas.microsoft.com/office/spreadsheetml/2009/9/main" uri="{2946ED86-A175-432a-8AC1-64E0C546D7DE}">
          <x14:pivotField fillDownLabels="1"/>
        </ext>
      </extLst>
    </pivotField>
    <pivotField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86"/>
        <item x="287"/>
        <item x="288"/>
        <item x="289"/>
        <item x="290"/>
        <item x="247"/>
        <item x="248"/>
        <item x="264"/>
        <item x="292"/>
        <item x="271"/>
        <item x="272"/>
        <item x="273"/>
        <item x="274"/>
        <item x="276"/>
        <item x="277"/>
        <item x="278"/>
        <item x="279"/>
        <item x="291"/>
        <item x="280"/>
        <item x="281"/>
        <item x="282"/>
        <item x="283"/>
        <item x="284"/>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5">
        <item x="5"/>
        <item x="0"/>
        <item x="1"/>
        <item x="2"/>
        <item x="24"/>
        <item x="3"/>
        <item x="12"/>
        <item x="13"/>
        <item x="4"/>
        <item x="7"/>
        <item x="19"/>
        <item x="6"/>
        <item x="8"/>
        <item x="14"/>
        <item x="20"/>
        <item x="17"/>
        <item x="16"/>
        <item x="15"/>
        <item x="23"/>
        <item x="25"/>
        <item x="9"/>
        <item x="10"/>
        <item x="21"/>
        <item x="27"/>
        <item x="26"/>
        <item x="18"/>
        <item x="33"/>
        <item x="22"/>
        <item x="37"/>
        <item x="29"/>
        <item x="38"/>
        <item x="40"/>
        <item x="28"/>
        <item x="39"/>
        <item x="30"/>
        <item x="34"/>
        <item x="32"/>
        <item x="31"/>
        <item x="35"/>
        <item x="42"/>
        <item x="43"/>
        <item x="45"/>
        <item x="36"/>
        <item n="0" x="11"/>
        <item x="53"/>
        <item x="41"/>
        <item x="44"/>
        <item x="54"/>
        <item x="46"/>
        <item x="48"/>
        <item x="47"/>
        <item x="49"/>
        <item x="50"/>
        <item x="51"/>
        <item x="5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93">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290"/>
      <x v="1"/>
      <x v="53"/>
    </i>
    <i>
      <x v="35"/>
      <x v="154"/>
      <x/>
      <x v="43"/>
    </i>
    <i>
      <x v="36"/>
      <x v="212"/>
      <x/>
      <x v="43"/>
    </i>
    <i>
      <x v="37"/>
      <x v="213"/>
      <x/>
      <x v="43"/>
    </i>
    <i>
      <x v="38"/>
      <x v="43"/>
      <x/>
      <x v="43"/>
    </i>
    <i>
      <x v="39"/>
      <x v="266"/>
      <x/>
      <x v="43"/>
    </i>
    <i>
      <x v="40"/>
      <x v="274"/>
      <x v="1"/>
      <x v="43"/>
    </i>
    <i>
      <x v="41"/>
      <x v="25"/>
      <x v="1"/>
      <x v="1"/>
    </i>
    <i>
      <x v="42"/>
      <x v="108"/>
      <x v="1"/>
      <x v="7"/>
    </i>
    <i>
      <x v="43"/>
      <x v="129"/>
      <x v="1"/>
      <x v="16"/>
    </i>
    <i>
      <x v="44"/>
      <x v="158"/>
      <x v="1"/>
      <x v="15"/>
    </i>
    <i>
      <x v="45"/>
      <x v="156"/>
      <x/>
      <x v="43"/>
    </i>
    <i>
      <x v="46"/>
      <x v="228"/>
      <x v="1"/>
      <x v="18"/>
    </i>
    <i>
      <x v="47"/>
      <x v="134"/>
      <x v="1"/>
      <x v="43"/>
    </i>
    <i r="1">
      <x v="163"/>
      <x v="1"/>
      <x v="43"/>
    </i>
    <i r="1">
      <x v="164"/>
      <x v="1"/>
      <x v="43"/>
    </i>
    <i r="1">
      <x v="166"/>
      <x/>
      <x v="43"/>
    </i>
    <i>
      <x v="48"/>
      <x v="196"/>
      <x/>
      <x v="43"/>
    </i>
    <i>
      <x v="49"/>
      <x v="273"/>
      <x v="1"/>
      <x v="43"/>
    </i>
    <i>
      <x v="50"/>
      <x v="206"/>
      <x/>
      <x v="43"/>
    </i>
    <i>
      <x v="51"/>
      <x v="224"/>
      <x v="1"/>
      <x v="15"/>
    </i>
    <i>
      <x v="52"/>
      <x v="40"/>
      <x v="1"/>
      <x v="12"/>
    </i>
    <i>
      <x v="53"/>
      <x v="115"/>
      <x v="1"/>
      <x v="1"/>
    </i>
    <i>
      <x v="54"/>
      <x v="49"/>
      <x v="1"/>
      <x v="7"/>
    </i>
    <i>
      <x v="55"/>
      <x v="173"/>
      <x v="1"/>
      <x v="43"/>
    </i>
    <i>
      <x v="56"/>
      <x v="182"/>
      <x/>
      <x v="43"/>
    </i>
    <i>
      <x v="57"/>
      <x v="218"/>
      <x v="1"/>
      <x v="22"/>
    </i>
    <i>
      <x v="58"/>
      <x v="15"/>
      <x v="1"/>
      <x v="2"/>
    </i>
    <i>
      <x v="59"/>
      <x v="16"/>
      <x v="1"/>
      <x v="2"/>
    </i>
    <i>
      <x v="60"/>
      <x v="114"/>
      <x v="1"/>
      <x v="13"/>
    </i>
    <i>
      <x v="61"/>
      <x v="262"/>
      <x/>
      <x v="43"/>
    </i>
    <i>
      <x v="62"/>
      <x v="283"/>
      <x v="1"/>
      <x v="49"/>
    </i>
    <i>
      <x v="63"/>
      <x v="261"/>
      <x/>
      <x v="43"/>
    </i>
    <i>
      <x v="64"/>
      <x v="45"/>
      <x/>
      <x v="43"/>
    </i>
    <i>
      <x v="65"/>
      <x v="259"/>
      <x/>
      <x v="43"/>
    </i>
    <i>
      <x v="66"/>
      <x v="167"/>
      <x v="1"/>
      <x v="43"/>
    </i>
    <i>
      <x v="67"/>
      <x v="200"/>
      <x/>
      <x v="18"/>
    </i>
    <i>
      <x v="68"/>
      <x v="227"/>
      <x/>
      <x v="34"/>
    </i>
    <i>
      <x v="69"/>
      <x v="201"/>
      <x v="1"/>
      <x v="17"/>
    </i>
    <i>
      <x v="70"/>
      <x v="271"/>
      <x v="1"/>
      <x v="44"/>
    </i>
    <i>
      <x v="71"/>
      <x v="202"/>
      <x v="1"/>
      <x v="17"/>
    </i>
    <i>
      <x v="72"/>
      <x v="277"/>
      <x v="1"/>
      <x v="47"/>
    </i>
    <i>
      <x v="73"/>
      <x v="10"/>
      <x v="1"/>
      <x v="8"/>
    </i>
    <i>
      <x v="74"/>
      <x v="74"/>
      <x v="1"/>
      <x v="12"/>
    </i>
    <i>
      <x v="75"/>
      <x v="71"/>
      <x/>
      <x v="43"/>
    </i>
    <i>
      <x v="76"/>
      <x v="169"/>
      <x/>
      <x v="19"/>
    </i>
    <i>
      <x v="77"/>
      <x v="110"/>
      <x/>
      <x v="1"/>
    </i>
    <i>
      <x v="78"/>
      <x v="289"/>
      <x v="1"/>
      <x v="53"/>
    </i>
    <i>
      <x v="79"/>
      <x v="288"/>
      <x v="1"/>
      <x v="53"/>
    </i>
    <i>
      <x v="80"/>
      <x v="42"/>
      <x/>
      <x v="43"/>
    </i>
    <i>
      <x v="81"/>
      <x v="118"/>
      <x v="1"/>
      <x v="5"/>
    </i>
    <i>
      <x v="82"/>
      <x v="128"/>
      <x v="1"/>
      <x v="27"/>
    </i>
    <i>
      <x v="83"/>
      <x v="127"/>
      <x/>
      <x v="43"/>
    </i>
    <i>
      <x v="84"/>
      <x v="276"/>
      <x v="1"/>
      <x v="46"/>
    </i>
    <i>
      <x v="85"/>
      <x v="12"/>
      <x v="1"/>
      <x/>
    </i>
    <i>
      <x v="86"/>
      <x v="11"/>
      <x v="1"/>
      <x v="1"/>
    </i>
    <i>
      <x v="87"/>
      <x v="162"/>
      <x v="1"/>
      <x v="9"/>
    </i>
    <i>
      <x v="88"/>
      <x v="149"/>
      <x v="1"/>
      <x v="18"/>
    </i>
    <i>
      <x v="89"/>
      <x v="135"/>
      <x v="1"/>
      <x v="18"/>
    </i>
    <i>
      <x v="90"/>
      <x v="46"/>
      <x v="1"/>
      <x v="1"/>
    </i>
    <i>
      <x v="91"/>
      <x v="258"/>
      <x v="1"/>
      <x v="43"/>
    </i>
    <i>
      <x v="92"/>
      <x v="68"/>
      <x v="1"/>
      <x v="12"/>
    </i>
    <i>
      <x v="93"/>
      <x v="66"/>
      <x v="1"/>
      <x v="6"/>
    </i>
    <i>
      <x v="94"/>
      <x v="67"/>
      <x v="1"/>
      <x v="11"/>
    </i>
    <i>
      <x v="95"/>
      <x v="124"/>
      <x/>
      <x v="15"/>
    </i>
    <i>
      <x v="96"/>
      <x v="231"/>
      <x v="1"/>
      <x v="37"/>
    </i>
    <i>
      <x v="97"/>
      <x v="73"/>
      <x v="1"/>
      <x v="12"/>
    </i>
    <i>
      <x v="98"/>
      <x v="234"/>
      <x/>
      <x v="36"/>
    </i>
    <i>
      <x v="99"/>
      <x v="101"/>
      <x/>
      <x v="43"/>
    </i>
    <i>
      <x v="100"/>
      <x v="186"/>
      <x/>
      <x v="23"/>
    </i>
    <i>
      <x v="101"/>
      <x v="24"/>
      <x v="1"/>
      <x v="12"/>
    </i>
    <i>
      <x v="102"/>
      <x v="112"/>
      <x v="1"/>
      <x v="1"/>
    </i>
    <i>
      <x v="103"/>
      <x v="61"/>
      <x/>
      <x v="43"/>
    </i>
    <i>
      <x v="104"/>
      <x v="241"/>
      <x v="1"/>
      <x v="41"/>
    </i>
    <i>
      <x v="105"/>
      <x v="28"/>
      <x v="1"/>
      <x v="21"/>
    </i>
    <i>
      <x v="106"/>
      <x v="26"/>
      <x v="1"/>
      <x v="20"/>
    </i>
    <i>
      <x v="107"/>
      <x v="37"/>
      <x v="1"/>
      <x v="13"/>
    </i>
    <i>
      <x v="108"/>
      <x v="36"/>
      <x v="1"/>
      <x v="7"/>
    </i>
    <i>
      <x v="109"/>
      <x v="183"/>
      <x v="1"/>
      <x v="24"/>
    </i>
    <i>
      <x v="110"/>
      <x v="214"/>
      <x v="1"/>
      <x v="24"/>
    </i>
    <i>
      <x v="111"/>
      <x v="13"/>
      <x v="1"/>
      <x v="3"/>
    </i>
    <i>
      <x v="112"/>
      <x v="59"/>
      <x v="1"/>
      <x v="12"/>
    </i>
    <i>
      <x v="113"/>
      <x v="7"/>
      <x v="1"/>
      <x v="2"/>
    </i>
    <i>
      <x v="114"/>
      <x v="270"/>
      <x v="1"/>
      <x v="43"/>
    </i>
    <i>
      <x v="115"/>
      <x v="177"/>
      <x/>
      <x v="43"/>
    </i>
    <i>
      <x v="116"/>
      <x v="178"/>
      <x/>
      <x v="43"/>
    </i>
    <i>
      <x v="117"/>
      <x v="272"/>
      <x v="1"/>
      <x v="43"/>
    </i>
    <i>
      <x v="118"/>
      <x v="60"/>
      <x/>
      <x v="43"/>
    </i>
    <i>
      <x v="119"/>
      <x v="243"/>
      <x v="1"/>
      <x v="38"/>
    </i>
    <i>
      <x v="120"/>
      <x v="165"/>
      <x/>
      <x v="43"/>
    </i>
    <i>
      <x v="121"/>
      <x v="122"/>
      <x v="1"/>
      <x v="9"/>
    </i>
    <i>
      <x v="122"/>
      <x v="225"/>
      <x v="1"/>
      <x v="29"/>
    </i>
    <i>
      <x v="123"/>
      <x v="121"/>
      <x v="1"/>
      <x v="6"/>
    </i>
    <i>
      <x v="124"/>
      <x v="222"/>
      <x v="1"/>
      <x v="32"/>
    </i>
    <i>
      <x v="125"/>
      <x v="123"/>
      <x v="1"/>
      <x v="43"/>
    </i>
    <i>
      <x v="126"/>
      <x v="111"/>
      <x/>
      <x v="43"/>
    </i>
    <i>
      <x v="127"/>
      <x v="55"/>
      <x/>
      <x v="5"/>
    </i>
    <i>
      <x v="128"/>
      <x v="195"/>
      <x v="1"/>
      <x v="11"/>
    </i>
    <i>
      <x v="129"/>
      <x v="210"/>
      <x v="1"/>
      <x v="12"/>
    </i>
    <i>
      <x v="130"/>
      <x v="63"/>
      <x v="1"/>
      <x v="25"/>
    </i>
    <i>
      <x v="131"/>
      <x v="88"/>
      <x/>
      <x v="43"/>
    </i>
    <i>
      <x v="132"/>
      <x v="87"/>
      <x/>
      <x v="43"/>
    </i>
    <i>
      <x v="133"/>
      <x v="90"/>
      <x/>
      <x v="43"/>
    </i>
    <i>
      <x v="134"/>
      <x v="92"/>
      <x/>
      <x v="43"/>
    </i>
    <i>
      <x v="135"/>
      <x v="93"/>
      <x/>
      <x v="43"/>
    </i>
    <i>
      <x v="136"/>
      <x v="89"/>
      <x/>
      <x v="43"/>
    </i>
    <i>
      <x v="137"/>
      <x v="94"/>
      <x/>
      <x v="43"/>
    </i>
    <i>
      <x v="138"/>
      <x v="91"/>
      <x/>
      <x v="43"/>
    </i>
    <i>
      <x v="139"/>
      <x v="17"/>
      <x v="1"/>
      <x v="5"/>
    </i>
    <i>
      <x v="140"/>
      <x v="18"/>
      <x v="1"/>
      <x v="5"/>
    </i>
    <i>
      <x v="141"/>
      <x v="100"/>
      <x/>
      <x v="43"/>
    </i>
    <i>
      <x v="142"/>
      <x v="84"/>
      <x/>
      <x v="43"/>
    </i>
    <i>
      <x v="143"/>
      <x v="81"/>
      <x/>
      <x v="43"/>
    </i>
    <i>
      <x v="144"/>
      <x v="80"/>
      <x/>
      <x v="43"/>
    </i>
    <i>
      <x v="145"/>
      <x v="85"/>
      <x v="1"/>
      <x v="15"/>
    </i>
    <i>
      <x v="146"/>
      <x v="83"/>
      <x/>
      <x v="43"/>
    </i>
    <i>
      <x v="147"/>
      <x v="146"/>
      <x/>
      <x v="43"/>
    </i>
    <i>
      <x v="148"/>
      <x v="203"/>
      <x v="1"/>
      <x v="18"/>
    </i>
    <i>
      <x v="149"/>
      <x v="229"/>
      <x v="1"/>
      <x v="18"/>
    </i>
    <i>
      <x v="150"/>
      <x v="32"/>
      <x/>
      <x v="43"/>
    </i>
    <i>
      <x v="151"/>
      <x v="53"/>
      <x v="1"/>
      <x v="1"/>
    </i>
    <i>
      <x v="152"/>
      <x v="54"/>
      <x/>
      <x v="3"/>
    </i>
    <i>
      <x v="153"/>
      <x v="260"/>
      <x/>
      <x v="43"/>
    </i>
    <i>
      <x v="154"/>
      <x v="245"/>
      <x v="1"/>
      <x v="40"/>
    </i>
    <i>
      <x v="155"/>
      <x v="244"/>
      <x/>
      <x v="39"/>
    </i>
    <i>
      <x v="156"/>
      <x v="198"/>
      <x/>
      <x v="14"/>
    </i>
    <i>
      <x v="157"/>
      <x v="192"/>
      <x/>
      <x v="43"/>
    </i>
    <i>
      <x v="158"/>
      <x v="240"/>
      <x/>
      <x v="43"/>
    </i>
    <i>
      <x v="159"/>
      <x v="170"/>
      <x/>
      <x v="14"/>
    </i>
    <i>
      <x v="160"/>
      <x v="248"/>
      <x v="1"/>
      <x v="39"/>
    </i>
    <i>
      <x v="161"/>
      <x v="193"/>
      <x v="1"/>
      <x v="4"/>
    </i>
    <i>
      <x v="162"/>
      <x v="226"/>
      <x v="1"/>
      <x v="4"/>
    </i>
    <i>
      <x v="163"/>
      <x v="204"/>
      <x/>
      <x v="4"/>
    </i>
    <i>
      <x v="164"/>
      <x v="145"/>
      <x/>
      <x v="18"/>
    </i>
    <i>
      <x v="165"/>
      <x v="219"/>
      <x v="1"/>
      <x v="28"/>
    </i>
    <i>
      <x v="166"/>
      <x v="223"/>
      <x v="1"/>
      <x v="30"/>
    </i>
    <i>
      <x v="167"/>
      <x v="48"/>
      <x v="1"/>
      <x v="16"/>
    </i>
    <i>
      <x v="168"/>
      <x v="253"/>
      <x v="1"/>
      <x v="42"/>
    </i>
    <i>
      <x v="169"/>
      <x v="14"/>
      <x/>
      <x v="5"/>
    </i>
    <i>
      <x v="170"/>
      <x v="287"/>
      <x v="1"/>
      <x v="53"/>
    </i>
    <i>
      <x v="171"/>
      <x v="58"/>
      <x v="1"/>
      <x v="43"/>
    </i>
    <i>
      <x v="172"/>
      <x v="125"/>
      <x/>
      <x v="43"/>
    </i>
    <i>
      <x v="173"/>
      <x v="191"/>
      <x v="1"/>
      <x v="26"/>
    </i>
    <i>
      <x v="174"/>
      <x v="188"/>
      <x v="1"/>
      <x v="7"/>
    </i>
    <i>
      <x v="175"/>
      <x v="220"/>
      <x v="1"/>
      <x v="33"/>
    </i>
    <i>
      <x v="176"/>
      <x v="190"/>
      <x v="1"/>
      <x v="7"/>
    </i>
    <i>
      <x v="177"/>
      <x v="207"/>
      <x/>
      <x v="43"/>
    </i>
    <i>
      <x v="178"/>
      <x v="189"/>
      <x/>
      <x v="43"/>
    </i>
    <i>
      <x v="179"/>
      <x v="208"/>
      <x/>
      <x v="4"/>
    </i>
    <i>
      <x v="180"/>
      <x v="197"/>
      <x/>
      <x v="43"/>
    </i>
    <i>
      <x v="181"/>
      <x v="194"/>
      <x v="1"/>
      <x v="7"/>
    </i>
    <i>
      <x v="182"/>
      <x v="246"/>
      <x v="1"/>
      <x v="39"/>
    </i>
    <i>
      <x v="183"/>
      <x v="171"/>
      <x/>
      <x v="14"/>
    </i>
    <i>
      <x v="184"/>
      <x v="174"/>
      <x/>
      <x v="43"/>
    </i>
    <i>
      <x v="185"/>
      <x v="126"/>
      <x/>
      <x v="43"/>
    </i>
    <i>
      <x v="186"/>
      <x v="159"/>
      <x v="1"/>
      <x v="18"/>
    </i>
    <i>
      <x v="187"/>
      <x v="230"/>
      <x v="1"/>
      <x v="35"/>
    </i>
    <i>
      <x v="188"/>
      <x v="199"/>
      <x v="1"/>
      <x v="11"/>
    </i>
    <i>
      <x v="189"/>
      <x v="211"/>
      <x/>
      <x v="43"/>
    </i>
    <i>
      <x v="190"/>
      <x v="221"/>
      <x v="1"/>
      <x v="31"/>
    </i>
    <i>
      <x v="191"/>
      <x v="264"/>
      <x/>
      <x v="43"/>
    </i>
    <i>
      <x v="192"/>
      <x v="282"/>
      <x/>
      <x v="50"/>
    </i>
    <i>
      <x v="193"/>
      <x v="256"/>
      <x/>
      <x v="43"/>
    </i>
    <i>
      <x v="194"/>
      <x v="257"/>
      <x/>
      <x v="43"/>
    </i>
    <i>
      <x v="195"/>
      <x v="255"/>
      <x/>
      <x v="43"/>
    </i>
    <i>
      <x v="196"/>
      <x v="21"/>
      <x v="1"/>
      <x v="8"/>
    </i>
    <i>
      <x v="197"/>
      <x v="51"/>
      <x v="1"/>
      <x v="6"/>
    </i>
    <i>
      <x v="198"/>
      <x v="97"/>
      <x v="1"/>
      <x v="22"/>
    </i>
    <i>
      <x v="199"/>
      <x v="77"/>
      <x/>
      <x v="10"/>
    </i>
    <i>
      <x v="200"/>
      <x v="209"/>
      <x v="1"/>
      <x v="19"/>
    </i>
    <i>
      <x v="201"/>
      <x v="75"/>
      <x v="1"/>
      <x v="10"/>
    </i>
    <i>
      <x v="202"/>
      <x v="185"/>
      <x/>
      <x v="22"/>
    </i>
    <i>
      <x v="203"/>
      <x v="30"/>
      <x v="1"/>
      <x v="12"/>
    </i>
    <i>
      <x v="204"/>
      <x v="130"/>
      <x v="1"/>
      <x v="9"/>
    </i>
    <i>
      <x v="205"/>
      <x v="31"/>
      <x/>
      <x v="43"/>
    </i>
    <i>
      <x v="206"/>
      <x v="235"/>
      <x v="1"/>
      <x v="35"/>
    </i>
    <i>
      <x v="207"/>
      <x v="238"/>
      <x v="1"/>
      <x v="35"/>
    </i>
    <i>
      <x v="208"/>
      <x v="78"/>
      <x/>
      <x v="15"/>
    </i>
    <i>
      <x v="209"/>
      <x v="79"/>
      <x/>
      <x v="43"/>
    </i>
    <i>
      <x v="210"/>
      <x v="120"/>
      <x v="1"/>
      <x v="11"/>
    </i>
    <i>
      <x v="211"/>
      <x v="56"/>
      <x/>
      <x v="5"/>
    </i>
    <i>
      <x v="212"/>
      <x v="1"/>
      <x v="1"/>
      <x v="1"/>
    </i>
    <i>
      <x v="213"/>
      <x v="69"/>
      <x v="1"/>
      <x v="15"/>
    </i>
    <i>
      <x v="214"/>
      <x v="133"/>
      <x v="1"/>
      <x v="17"/>
    </i>
    <i>
      <x v="215"/>
      <x v="117"/>
      <x v="1"/>
      <x v="11"/>
    </i>
    <i>
      <x v="216"/>
      <x v="113"/>
      <x v="1"/>
      <x v="2"/>
    </i>
    <i>
      <x v="217"/>
      <x v="286"/>
      <x v="1"/>
      <x v="38"/>
    </i>
    <i>
      <x v="218"/>
      <x v="242"/>
      <x v="1"/>
      <x v="38"/>
    </i>
    <i>
      <x v="219"/>
      <x v="175"/>
      <x v="1"/>
      <x v="14"/>
    </i>
    <i>
      <x v="220"/>
      <x v="96"/>
      <x/>
      <x v="43"/>
    </i>
    <i>
      <x v="221"/>
      <x v="160"/>
      <x v="1"/>
      <x v="18"/>
    </i>
    <i>
      <x v="222"/>
      <x v="62"/>
      <x/>
      <x v="43"/>
    </i>
    <i>
      <x v="223"/>
      <x v="132"/>
      <x v="1"/>
      <x v="6"/>
    </i>
    <i>
      <x v="224"/>
      <x v="29"/>
      <x v="1"/>
      <x v="2"/>
    </i>
    <i>
      <x v="225"/>
      <x v="22"/>
      <x v="1"/>
      <x v="1"/>
    </i>
    <i>
      <x v="226"/>
      <x v="27"/>
      <x v="1"/>
      <x v="1"/>
    </i>
    <i>
      <x v="227"/>
      <x v="23"/>
      <x v="1"/>
      <x v="9"/>
    </i>
    <i>
      <x v="228"/>
      <x v="150"/>
      <x v="1"/>
      <x v="18"/>
    </i>
    <i>
      <x v="229"/>
      <x v="44"/>
      <x v="1"/>
      <x v="2"/>
    </i>
    <i>
      <x v="230"/>
      <x v="102"/>
      <x/>
      <x v="43"/>
    </i>
    <i>
      <x v="231"/>
      <x v="285"/>
      <x v="1"/>
      <x v="52"/>
    </i>
    <i>
      <x v="232"/>
      <x v="151"/>
      <x/>
      <x v="18"/>
    </i>
    <i>
      <x v="233"/>
      <x v="236"/>
      <x v="1"/>
      <x v="35"/>
    </i>
    <i>
      <x v="234"/>
      <x v="98"/>
      <x/>
      <x v="43"/>
    </i>
    <i>
      <x v="235"/>
      <x v="232"/>
      <x/>
      <x v="36"/>
    </i>
    <i>
      <x v="236"/>
      <x v="233"/>
      <x v="1"/>
      <x v="36"/>
    </i>
    <i>
      <x v="237"/>
      <x v="216"/>
      <x v="1"/>
      <x v="14"/>
    </i>
    <i>
      <x v="238"/>
      <x v="70"/>
      <x v="1"/>
      <x v="15"/>
    </i>
    <i>
      <x v="239"/>
      <x v="275"/>
      <x v="1"/>
      <x v="45"/>
    </i>
    <i>
      <x v="240"/>
      <x v="250"/>
      <x v="1"/>
      <x v="42"/>
    </i>
    <i>
      <x v="241"/>
      <x v="252"/>
      <x v="1"/>
      <x v="42"/>
    </i>
    <i>
      <x v="242"/>
      <x v="5"/>
      <x v="1"/>
      <x v="3"/>
    </i>
    <i>
      <x v="243"/>
      <x v="6"/>
      <x v="1"/>
      <x v="8"/>
    </i>
    <i>
      <x v="244"/>
      <x v="38"/>
      <x v="1"/>
      <x v="6"/>
    </i>
    <i>
      <x v="245"/>
      <x v="64"/>
      <x v="1"/>
      <x v="2"/>
    </i>
    <i>
      <x v="246"/>
      <x v="65"/>
      <x v="1"/>
      <x v="2"/>
    </i>
    <i>
      <x v="247"/>
      <x v="254"/>
      <x/>
      <x v="43"/>
    </i>
    <i>
      <x v="248"/>
      <x v="8"/>
      <x v="1"/>
      <x v="2"/>
    </i>
    <i>
      <x v="249"/>
      <x v="184"/>
      <x/>
      <x v="43"/>
    </i>
    <i>
      <x v="250"/>
      <x v="76"/>
      <x v="1"/>
      <x v="13"/>
    </i>
    <i>
      <x v="251"/>
      <x v="187"/>
      <x/>
      <x v="43"/>
    </i>
    <i>
      <x v="252"/>
      <x v="265"/>
      <x/>
      <x v="43"/>
    </i>
    <i>
      <x v="253"/>
      <x v="172"/>
      <x v="1"/>
      <x v="43"/>
    </i>
    <i>
      <x v="254"/>
      <x v="52"/>
      <x v="1"/>
      <x v="12"/>
    </i>
    <i>
      <x v="255"/>
      <x v="279"/>
      <x v="1"/>
      <x v="48"/>
    </i>
    <i>
      <x v="256"/>
      <x v="281"/>
      <x v="1"/>
      <x v="48"/>
    </i>
    <i>
      <x v="257"/>
      <x v="280"/>
      <x v="1"/>
      <x v="48"/>
    </i>
    <i>
      <x v="258"/>
      <x v="278"/>
      <x v="1"/>
      <x v="48"/>
    </i>
    <i>
      <x v="259"/>
      <x v="292"/>
      <x v="1"/>
      <x v="54"/>
    </i>
    <i>
      <x v="260"/>
      <x v="104"/>
      <x/>
      <x v="43"/>
    </i>
    <i>
      <x v="261"/>
      <x v="57"/>
      <x/>
      <x v="43"/>
    </i>
    <i>
      <x v="262"/>
      <x/>
      <x v="1"/>
      <x v="1"/>
    </i>
    <i>
      <x v="263"/>
      <x v="20"/>
      <x v="1"/>
      <x v="11"/>
    </i>
    <i>
      <x v="264"/>
      <x v="3"/>
      <x v="1"/>
      <x v="3"/>
    </i>
    <i>
      <x v="265"/>
      <x v="2"/>
      <x v="1"/>
      <x v="2"/>
    </i>
    <i>
      <x v="266"/>
      <x v="4"/>
      <x v="1"/>
      <x v="5"/>
    </i>
    <i>
      <x v="267"/>
      <x v="251"/>
      <x/>
      <x v="42"/>
    </i>
    <i>
      <x v="268"/>
      <x v="34"/>
      <x v="1"/>
      <x v="6"/>
    </i>
    <i>
      <x v="269"/>
      <x v="215"/>
      <x/>
      <x v="43"/>
    </i>
    <i>
      <x v="270"/>
      <x v="95"/>
      <x/>
      <x v="43"/>
    </i>
    <i>
      <x v="271"/>
      <x v="176"/>
      <x/>
      <x v="43"/>
    </i>
    <i>
      <x v="272"/>
      <x v="72"/>
      <x v="1"/>
      <x v="43"/>
    </i>
    <i>
      <x v="273"/>
      <x v="291"/>
      <x v="1"/>
      <x v="54"/>
    </i>
    <i>
      <x v="274"/>
      <x v="247"/>
      <x/>
      <x v="40"/>
    </i>
    <i>
      <x v="275"/>
      <x v="35"/>
      <x v="1"/>
      <x v="6"/>
    </i>
    <i>
      <x v="276"/>
      <x v="33"/>
      <x/>
      <x v="6"/>
    </i>
    <i>
      <x v="277"/>
      <x v="239"/>
      <x/>
      <x v="38"/>
    </i>
    <i>
      <x v="278"/>
      <x v="153"/>
      <x/>
      <x v="18"/>
    </i>
    <i>
      <x v="279"/>
      <x v="152"/>
      <x v="1"/>
      <x v="18"/>
    </i>
    <i>
      <x v="280"/>
      <x v="269"/>
      <x/>
      <x v="43"/>
    </i>
    <i>
      <x v="281"/>
      <x v="109"/>
      <x v="1"/>
      <x v="1"/>
    </i>
    <i>
      <x v="282"/>
      <x v="41"/>
      <x/>
      <x v="43"/>
    </i>
    <i>
      <x v="283"/>
      <x v="143"/>
      <x/>
      <x v="43"/>
    </i>
    <i>
      <x v="284"/>
      <x v="19"/>
      <x/>
      <x v="11"/>
    </i>
    <i>
      <x v="285"/>
      <x v="50"/>
      <x v="1"/>
      <x v="15"/>
    </i>
    <i>
      <x v="286"/>
      <x v="99"/>
      <x v="1"/>
      <x v="15"/>
    </i>
    <i>
      <x v="287"/>
      <x v="105"/>
      <x/>
      <x v="6"/>
    </i>
    <i>
      <x v="288"/>
      <x v="168"/>
      <x/>
      <x v="43"/>
    </i>
    <i>
      <x v="289"/>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96" firstHeaderRow="1" firstDataRow="1" firstDataCol="2" rowPageCount="1" colPageCount="1"/>
  <pivotFields count="31">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3"/>
        <item x="2"/>
        <item x="12"/>
        <item x="20"/>
        <item x="14"/>
        <item x="8"/>
        <item x="15"/>
        <item x="17"/>
        <item x="6"/>
        <item x="18"/>
        <item x="10"/>
        <item x="11"/>
        <item x="4"/>
        <item x="13"/>
        <item x="0"/>
        <item x="5"/>
        <item x="19"/>
        <item x="9"/>
        <item x="7"/>
        <item x="16"/>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0">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3"/>
        <item x="284"/>
        <item x="285"/>
        <item x="286"/>
        <item x="287"/>
        <item x="244"/>
        <item x="245"/>
        <item x="261"/>
        <item x="289"/>
        <item x="269"/>
        <item x="270"/>
        <item x="271"/>
        <item x="268"/>
        <item x="9"/>
        <item x="274"/>
        <item x="75"/>
        <item x="273"/>
        <item x="275"/>
        <item x="288"/>
        <item x="276"/>
        <item x="248"/>
        <item x="233"/>
        <item x="267"/>
        <item x="277"/>
        <item x="278"/>
        <item x="279"/>
        <item x="280"/>
        <item x="281"/>
        <item x="28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93">
    <i>
      <x/>
      <x v="3"/>
    </i>
    <i r="1">
      <x v="7"/>
    </i>
    <i r="1">
      <x v="22"/>
    </i>
    <i r="1">
      <x v="35"/>
    </i>
    <i r="1">
      <x v="40"/>
    </i>
    <i r="1">
      <x v="46"/>
    </i>
    <i r="1">
      <x v="64"/>
    </i>
    <i r="1">
      <x v="120"/>
    </i>
    <i r="1">
      <x v="139"/>
    </i>
    <i r="1">
      <x v="157"/>
    </i>
    <i r="1">
      <x v="165"/>
    </i>
    <i r="1">
      <x v="178"/>
    </i>
    <i r="1">
      <x v="180"/>
    </i>
    <i r="1">
      <x v="189"/>
    </i>
    <i r="1">
      <x v="199"/>
    </i>
    <i r="1">
      <x v="205"/>
    </i>
    <i>
      <x v="1"/>
      <x v="21"/>
    </i>
    <i r="1">
      <x v="29"/>
    </i>
    <i r="1">
      <x v="38"/>
    </i>
    <i r="1">
      <x v="55"/>
    </i>
    <i r="1">
      <x v="61"/>
    </i>
    <i r="1">
      <x v="155"/>
    </i>
    <i r="1">
      <x v="196"/>
    </i>
    <i r="1">
      <x v="204"/>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19"/>
    </i>
    <i r="1">
      <x v="135"/>
    </i>
    <i r="1">
      <x v="140"/>
    </i>
    <i r="1">
      <x v="147"/>
    </i>
    <i r="1">
      <x v="148"/>
    </i>
    <i r="1">
      <x v="156"/>
    </i>
    <i r="1">
      <x v="164"/>
    </i>
    <i r="1">
      <x v="166"/>
    </i>
    <i r="1">
      <x v="167"/>
    </i>
    <i r="1">
      <x v="168"/>
    </i>
    <i r="1">
      <x v="181"/>
    </i>
    <i r="1">
      <x v="188"/>
    </i>
    <i r="1">
      <x v="193"/>
    </i>
    <i r="1">
      <x v="194"/>
    </i>
    <i r="1">
      <x v="197"/>
    </i>
    <i r="1">
      <x v="200"/>
    </i>
    <i r="1">
      <x v="201"/>
    </i>
    <i r="1">
      <x v="212"/>
    </i>
    <i r="1">
      <x v="216"/>
    </i>
    <i r="1">
      <x v="234"/>
    </i>
    <i r="1">
      <x v="241"/>
    </i>
    <i r="1">
      <x v="242"/>
    </i>
    <i r="1">
      <x v="243"/>
    </i>
    <i r="1">
      <x v="244"/>
    </i>
    <i r="1">
      <x v="245"/>
    </i>
    <i r="1">
      <x v="268"/>
    </i>
    <i>
      <x v="3"/>
      <x v="142"/>
    </i>
    <i r="1">
      <x v="226"/>
    </i>
    <i r="1">
      <x v="239"/>
    </i>
    <i>
      <x v="4"/>
      <x v="58"/>
    </i>
    <i>
      <x v="5"/>
      <x v="53"/>
    </i>
    <i>
      <x v="6"/>
      <x v="27"/>
    </i>
    <i r="1">
      <x v="28"/>
    </i>
    <i r="1">
      <x v="48"/>
    </i>
    <i r="1">
      <x v="49"/>
    </i>
    <i r="1">
      <x v="50"/>
    </i>
    <i r="1">
      <x v="117"/>
    </i>
    <i r="1">
      <x v="118"/>
    </i>
    <i r="1">
      <x v="131"/>
    </i>
    <i r="1">
      <x v="202"/>
    </i>
    <i r="1">
      <x v="215"/>
    </i>
    <i r="1">
      <x v="233"/>
    </i>
    <i r="1">
      <x v="240"/>
    </i>
    <i r="1">
      <x v="263"/>
    </i>
    <i r="1">
      <x v="264"/>
    </i>
    <i r="1">
      <x v="279"/>
    </i>
    <i r="1">
      <x v="281"/>
    </i>
    <i r="1">
      <x v="282"/>
    </i>
    <i r="1">
      <x v="283"/>
    </i>
    <i>
      <x v="7"/>
      <x v="70"/>
    </i>
    <i>
      <x v="8"/>
      <x v="10"/>
    </i>
    <i r="1">
      <x v="11"/>
    </i>
    <i r="1">
      <x v="12"/>
    </i>
    <i r="1">
      <x v="18"/>
    </i>
    <i r="1">
      <x v="35"/>
    </i>
    <i r="1">
      <x v="42"/>
    </i>
    <i r="1">
      <x v="54"/>
    </i>
    <i r="1">
      <x v="56"/>
    </i>
    <i r="1">
      <x v="68"/>
    </i>
    <i r="1">
      <x v="78"/>
    </i>
    <i r="1">
      <x v="82"/>
    </i>
    <i r="1">
      <x v="83"/>
    </i>
    <i r="1">
      <x v="86"/>
    </i>
    <i r="1">
      <x v="87"/>
    </i>
    <i r="1">
      <x v="88"/>
    </i>
    <i r="1">
      <x v="93"/>
    </i>
    <i r="1">
      <x v="115"/>
    </i>
    <i r="1">
      <x v="116"/>
    </i>
    <i r="1">
      <x v="123"/>
    </i>
    <i r="1">
      <x v="132"/>
    </i>
    <i r="1">
      <x v="133"/>
    </i>
    <i r="1">
      <x v="134"/>
    </i>
    <i r="1">
      <x v="176"/>
    </i>
    <i r="1">
      <x v="203"/>
    </i>
    <i r="1">
      <x v="206"/>
    </i>
    <i r="1">
      <x v="210"/>
    </i>
    <i r="1">
      <x v="214"/>
    </i>
    <i>
      <x v="9"/>
      <x v="91"/>
    </i>
    <i r="1">
      <x v="92"/>
    </i>
    <i r="1">
      <x v="238"/>
    </i>
    <i>
      <x v="10"/>
      <x v="52"/>
    </i>
    <i r="1">
      <x v="143"/>
    </i>
    <i r="1">
      <x v="227"/>
    </i>
    <i r="1">
      <x v="228"/>
    </i>
    <i r="1">
      <x v="229"/>
    </i>
    <i r="1">
      <x v="276"/>
    </i>
    <i r="1">
      <x v="277"/>
    </i>
    <i r="1">
      <x v="284"/>
    </i>
    <i r="1">
      <x v="285"/>
    </i>
    <i r="1">
      <x v="286"/>
    </i>
    <i r="1">
      <x v="287"/>
    </i>
    <i>
      <x v="11"/>
      <x v="141"/>
    </i>
    <i r="1">
      <x v="146"/>
    </i>
    <i r="1">
      <x v="177"/>
    </i>
    <i r="1">
      <x v="217"/>
    </i>
    <i r="1">
      <x v="218"/>
    </i>
    <i>
      <x v="12"/>
      <x v="24"/>
    </i>
    <i r="1">
      <x v="35"/>
    </i>
    <i r="1">
      <x v="39"/>
    </i>
    <i r="1">
      <x v="45"/>
    </i>
    <i r="1">
      <x v="47"/>
    </i>
    <i r="1">
      <x v="65"/>
    </i>
    <i r="1">
      <x v="66"/>
    </i>
    <i r="1">
      <x v="67"/>
    </i>
    <i r="1">
      <x v="73"/>
    </i>
    <i r="1">
      <x v="80"/>
    </i>
    <i r="1">
      <x v="84"/>
    </i>
    <i r="1">
      <x v="85"/>
    </i>
    <i r="1">
      <x v="90"/>
    </i>
    <i r="1">
      <x v="111"/>
    </i>
    <i r="1">
      <x v="112"/>
    </i>
    <i r="1">
      <x v="122"/>
    </i>
    <i r="1">
      <x v="149"/>
    </i>
    <i r="1">
      <x v="150"/>
    </i>
    <i r="1">
      <x v="152"/>
    </i>
    <i r="1">
      <x v="154"/>
    </i>
    <i r="1">
      <x v="158"/>
    </i>
    <i r="1">
      <x v="169"/>
    </i>
    <i r="1">
      <x v="182"/>
    </i>
    <i r="1">
      <x v="232"/>
    </i>
    <i>
      <x v="13"/>
      <x v="36"/>
    </i>
    <i r="1">
      <x v="37"/>
    </i>
    <i r="1">
      <x v="113"/>
    </i>
    <i r="1">
      <x v="114"/>
    </i>
    <i r="1">
      <x v="129"/>
    </i>
    <i r="1">
      <x v="130"/>
    </i>
    <i r="1">
      <x v="208"/>
    </i>
    <i r="1">
      <x v="211"/>
    </i>
    <i r="1">
      <x v="251"/>
    </i>
    <i r="1">
      <x v="252"/>
    </i>
    <i r="1">
      <x v="253"/>
    </i>
    <i r="1">
      <x v="254"/>
    </i>
    <i r="1">
      <x v="255"/>
    </i>
    <i r="1">
      <x v="256"/>
    </i>
    <i r="1">
      <x v="257"/>
    </i>
    <i r="1">
      <x v="258"/>
    </i>
    <i r="1">
      <x v="259"/>
    </i>
    <i r="1">
      <x v="260"/>
    </i>
    <i r="1">
      <x v="261"/>
    </i>
    <i r="1">
      <x v="265"/>
    </i>
    <i>
      <x v="14"/>
      <x v="43"/>
    </i>
    <i r="1">
      <x v="44"/>
    </i>
    <i r="1">
      <x v="51"/>
    </i>
    <i r="1">
      <x v="57"/>
    </i>
    <i r="1">
      <x v="59"/>
    </i>
    <i r="1">
      <x v="60"/>
    </i>
    <i r="1">
      <x v="79"/>
    </i>
    <i r="1">
      <x v="81"/>
    </i>
    <i r="1">
      <x v="102"/>
    </i>
    <i r="1">
      <x v="103"/>
    </i>
    <i r="1">
      <x v="121"/>
    </i>
    <i r="1">
      <x v="138"/>
    </i>
    <i r="1">
      <x v="151"/>
    </i>
    <i r="1">
      <x v="153"/>
    </i>
    <i r="1">
      <x v="170"/>
    </i>
    <i r="1">
      <x v="171"/>
    </i>
    <i r="1">
      <x v="175"/>
    </i>
    <i r="1">
      <x v="183"/>
    </i>
    <i r="1">
      <x v="184"/>
    </i>
    <i r="1">
      <x v="185"/>
    </i>
    <i r="1">
      <x v="186"/>
    </i>
    <i r="1">
      <x v="198"/>
    </i>
    <i r="1">
      <x v="223"/>
    </i>
    <i r="1">
      <x v="274"/>
    </i>
    <i r="1">
      <x v="275"/>
    </i>
    <i r="1">
      <x v="278"/>
    </i>
    <i r="1">
      <x v="288"/>
    </i>
    <i r="1">
      <x v="289"/>
    </i>
    <i>
      <x v="15"/>
      <x v="124"/>
    </i>
    <i r="1">
      <x v="125"/>
    </i>
    <i r="1">
      <x v="126"/>
    </i>
    <i r="1">
      <x v="127"/>
    </i>
    <i r="1">
      <x v="128"/>
    </i>
    <i r="1">
      <x v="209"/>
    </i>
    <i r="1">
      <x v="213"/>
    </i>
    <i r="1">
      <x v="235"/>
    </i>
    <i r="1">
      <x v="236"/>
    </i>
    <i>
      <x v="16"/>
      <x v="136"/>
    </i>
    <i r="1">
      <x v="137"/>
    </i>
    <i r="1">
      <x v="237"/>
    </i>
    <i r="1">
      <x v="246"/>
    </i>
    <i r="1">
      <x v="247"/>
    </i>
    <i r="1">
      <x v="248"/>
    </i>
    <i r="1">
      <x v="249"/>
    </i>
    <i r="1">
      <x v="250"/>
    </i>
    <i r="1">
      <x v="269"/>
    </i>
    <i>
      <x v="17"/>
      <x v="144"/>
    </i>
    <i r="1">
      <x v="190"/>
    </i>
    <i r="1">
      <x v="207"/>
    </i>
    <i r="1">
      <x v="225"/>
    </i>
    <i>
      <x v="18"/>
      <x v="35"/>
    </i>
    <i r="1">
      <x v="173"/>
    </i>
    <i r="1">
      <x v="174"/>
    </i>
    <i>
      <x v="19"/>
      <x v="179"/>
    </i>
    <i r="1">
      <x v="230"/>
    </i>
    <i r="1">
      <x v="231"/>
    </i>
    <i>
      <x v="20"/>
      <x v="16"/>
    </i>
    <i r="1">
      <x v="17"/>
    </i>
    <i r="1">
      <x v="30"/>
    </i>
    <i r="1">
      <x v="31"/>
    </i>
    <i r="1">
      <x v="41"/>
    </i>
    <i r="1">
      <x v="71"/>
    </i>
    <i r="1">
      <x v="72"/>
    </i>
    <i r="1">
      <x v="74"/>
    </i>
    <i r="1">
      <x v="75"/>
    </i>
    <i r="1">
      <x v="76"/>
    </i>
    <i r="1">
      <x v="77"/>
    </i>
    <i r="1">
      <x v="89"/>
    </i>
    <i r="1">
      <x v="145"/>
    </i>
    <i r="1">
      <x v="159"/>
    </i>
    <i r="1">
      <x v="160"/>
    </i>
    <i r="1">
      <x v="161"/>
    </i>
    <i r="1">
      <x v="162"/>
    </i>
    <i r="1">
      <x v="163"/>
    </i>
    <i r="1">
      <x v="172"/>
    </i>
    <i r="1">
      <x v="187"/>
    </i>
    <i r="1">
      <x v="191"/>
    </i>
    <i r="1">
      <x v="192"/>
    </i>
    <i r="1">
      <x v="195"/>
    </i>
    <i r="1">
      <x v="219"/>
    </i>
    <i r="1">
      <x v="220"/>
    </i>
    <i r="1">
      <x v="221"/>
    </i>
    <i r="1">
      <x v="222"/>
    </i>
    <i r="1">
      <x v="224"/>
    </i>
    <i r="1">
      <x v="266"/>
    </i>
    <i r="1">
      <x v="267"/>
    </i>
    <i r="1">
      <x v="280"/>
    </i>
    <i>
      <x v="21"/>
      <x v="262"/>
    </i>
    <i>
      <x v="22"/>
      <x v="270"/>
    </i>
    <i r="1">
      <x v="271"/>
    </i>
    <i r="1">
      <x v="272"/>
    </i>
    <i r="1">
      <x v="273"/>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7">
      <pivotArea outline="0" collapsedLevelsAreSubtotals="1" fieldPosition="0"/>
    </format>
    <format dxfId="876">
      <pivotArea dataOnly="0" labelOnly="1" outline="0" axis="axisValues" fieldPosition="0"/>
    </format>
    <format dxfId="875">
      <pivotArea field="20" type="button" dataOnly="0" labelOnly="1" outline="0" axis="axisPage" fieldPosition="0"/>
    </format>
    <format dxfId="874">
      <pivotArea dataOnly="0" labelOnly="1" outline="0" fieldPosition="0">
        <references count="1">
          <reference field="20" count="0"/>
        </references>
      </pivotArea>
    </format>
    <format dxfId="873">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72">
      <pivotArea dataOnly="0" labelOnly="1" outline="0" fieldPosition="0">
        <references count="1">
          <reference field="4" count="1">
            <x v="0"/>
          </reference>
        </references>
      </pivotArea>
    </format>
    <format dxfId="871">
      <pivotArea dataOnly="0" labelOnly="1" outline="0" fieldPosition="0">
        <references count="2">
          <reference field="4" count="1" selected="0">
            <x v="0"/>
          </reference>
          <reference field="19" count="10">
            <x v="36"/>
            <x v="37"/>
            <x v="38"/>
            <x v="39"/>
            <x v="40"/>
            <x v="41"/>
            <x v="42"/>
            <x v="92"/>
            <x v="110"/>
            <x v="113"/>
          </reference>
        </references>
      </pivotArea>
    </format>
    <format dxfId="870">
      <pivotArea dataOnly="0" labelOnly="1" outline="0" fieldPosition="0">
        <references count="3">
          <reference field="4" count="1" selected="0">
            <x v="0"/>
          </reference>
          <reference field="5" count="1">
            <x v="83"/>
          </reference>
          <reference field="19" count="1" selected="0">
            <x v="36"/>
          </reference>
        </references>
      </pivotArea>
    </format>
    <format dxfId="869">
      <pivotArea dataOnly="0" labelOnly="1" outline="0" fieldPosition="0">
        <references count="3">
          <reference field="4" count="1" selected="0">
            <x v="0"/>
          </reference>
          <reference field="5" count="1">
            <x v="30"/>
          </reference>
          <reference field="19" count="1" selected="0">
            <x v="37"/>
          </reference>
        </references>
      </pivotArea>
    </format>
    <format dxfId="868">
      <pivotArea dataOnly="0" labelOnly="1" outline="0" fieldPosition="0">
        <references count="3">
          <reference field="4" count="1" selected="0">
            <x v="0"/>
          </reference>
          <reference field="5" count="1">
            <x v="1"/>
          </reference>
          <reference field="19" count="1" selected="0">
            <x v="38"/>
          </reference>
        </references>
      </pivotArea>
    </format>
    <format dxfId="867">
      <pivotArea dataOnly="0" labelOnly="1" outline="0" fieldPosition="0">
        <references count="3">
          <reference field="4" count="1" selected="0">
            <x v="0"/>
          </reference>
          <reference field="5" count="1">
            <x v="16"/>
          </reference>
          <reference field="19" count="1" selected="0">
            <x v="39"/>
          </reference>
        </references>
      </pivotArea>
    </format>
    <format dxfId="866">
      <pivotArea dataOnly="0" labelOnly="1" outline="0" fieldPosition="0">
        <references count="3">
          <reference field="4" count="1" selected="0">
            <x v="0"/>
          </reference>
          <reference field="5" count="1">
            <x v="105"/>
          </reference>
          <reference field="19" count="1" selected="0">
            <x v="40"/>
          </reference>
        </references>
      </pivotArea>
    </format>
    <format dxfId="865">
      <pivotArea dataOnly="0" labelOnly="1" outline="0" fieldPosition="0">
        <references count="3">
          <reference field="4" count="1" selected="0">
            <x v="0"/>
          </reference>
          <reference field="5" count="1">
            <x v="65"/>
          </reference>
          <reference field="19" count="1" selected="0">
            <x v="41"/>
          </reference>
        </references>
      </pivotArea>
    </format>
    <format dxfId="864">
      <pivotArea dataOnly="0" labelOnly="1" outline="0" fieldPosition="0">
        <references count="3">
          <reference field="4" count="1" selected="0">
            <x v="0"/>
          </reference>
          <reference field="5" count="1">
            <x v="93"/>
          </reference>
          <reference field="19" count="1" selected="0">
            <x v="42"/>
          </reference>
        </references>
      </pivotArea>
    </format>
    <format dxfId="863">
      <pivotArea dataOnly="0" labelOnly="1" outline="0" fieldPosition="0">
        <references count="3">
          <reference field="4" count="1" selected="0">
            <x v="0"/>
          </reference>
          <reference field="5" count="1">
            <x v="76"/>
          </reference>
          <reference field="19" count="1" selected="0">
            <x v="92"/>
          </reference>
        </references>
      </pivotArea>
    </format>
    <format dxfId="862">
      <pivotArea dataOnly="0" labelOnly="1" outline="0" fieldPosition="0">
        <references count="3">
          <reference field="4" count="1" selected="0">
            <x v="0"/>
          </reference>
          <reference field="5" count="1">
            <x v="111"/>
          </reference>
          <reference field="19" count="1" selected="0">
            <x v="110"/>
          </reference>
        </references>
      </pivotArea>
    </format>
    <format dxfId="861">
      <pivotArea dataOnly="0" labelOnly="1" outline="0" fieldPosition="0">
        <references count="3">
          <reference field="4" count="1" selected="0">
            <x v="0"/>
          </reference>
          <reference field="5" count="1">
            <x v="114"/>
          </reference>
          <reference field="19" count="1" selected="0">
            <x v="113"/>
          </reference>
        </references>
      </pivotArea>
    </format>
    <format dxfId="860">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9">
      <pivotArea dataOnly="0" labelOnly="1" outline="0" fieldPosition="0">
        <references count="1">
          <reference field="4" count="1">
            <x v="1"/>
          </reference>
        </references>
      </pivotArea>
    </format>
    <format dxfId="858">
      <pivotArea dataOnly="0" labelOnly="1" outline="0" fieldPosition="0">
        <references count="2">
          <reference field="4" count="1" selected="0">
            <x v="1"/>
          </reference>
          <reference field="19" count="3">
            <x v="35"/>
            <x v="93"/>
            <x v="115"/>
          </reference>
        </references>
      </pivotArea>
    </format>
    <format dxfId="857">
      <pivotArea dataOnly="0" labelOnly="1" outline="0" fieldPosition="0">
        <references count="3">
          <reference field="4" count="1" selected="0">
            <x v="1"/>
          </reference>
          <reference field="5" count="1">
            <x v="6"/>
          </reference>
          <reference field="19" count="1" selected="0">
            <x v="35"/>
          </reference>
        </references>
      </pivotArea>
    </format>
    <format dxfId="856">
      <pivotArea dataOnly="0" labelOnly="1" outline="0" fieldPosition="0">
        <references count="3">
          <reference field="4" count="1" selected="0">
            <x v="1"/>
          </reference>
          <reference field="5" count="1">
            <x v="28"/>
          </reference>
          <reference field="19" count="1" selected="0">
            <x v="93"/>
          </reference>
        </references>
      </pivotArea>
    </format>
    <format dxfId="855">
      <pivotArea dataOnly="0" labelOnly="1" outline="0" fieldPosition="0">
        <references count="3">
          <reference field="4" count="1" selected="0">
            <x v="1"/>
          </reference>
          <reference field="5" count="1">
            <x v="117"/>
          </reference>
          <reference field="19" count="1" selected="0">
            <x v="115"/>
          </reference>
        </references>
      </pivotArea>
    </format>
    <format dxfId="854">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53">
      <pivotArea dataOnly="0" labelOnly="1" outline="0" fieldPosition="0">
        <references count="1">
          <reference field="4" count="1">
            <x v="2"/>
          </reference>
        </references>
      </pivotArea>
    </format>
    <format dxfId="852">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51">
      <pivotArea dataOnly="0" labelOnly="1" outline="0" fieldPosition="0">
        <references count="3">
          <reference field="4" count="1" selected="0">
            <x v="2"/>
          </reference>
          <reference field="5" count="2">
            <x v="102"/>
            <x v="116"/>
          </reference>
          <reference field="19" count="1" selected="0">
            <x v="0"/>
          </reference>
        </references>
      </pivotArea>
    </format>
    <format dxfId="850">
      <pivotArea dataOnly="0" labelOnly="1" outline="0" fieldPosition="0">
        <references count="3">
          <reference field="4" count="1" selected="0">
            <x v="2"/>
          </reference>
          <reference field="5" count="1">
            <x v="53"/>
          </reference>
          <reference field="19" count="1" selected="0">
            <x v="61"/>
          </reference>
        </references>
      </pivotArea>
    </format>
    <format dxfId="849">
      <pivotArea dataOnly="0" labelOnly="1" outline="0" fieldPosition="0">
        <references count="3">
          <reference field="4" count="1" selected="0">
            <x v="2"/>
          </reference>
          <reference field="5" count="1">
            <x v="66"/>
          </reference>
          <reference field="19" count="1" selected="0">
            <x v="63"/>
          </reference>
        </references>
      </pivotArea>
    </format>
    <format dxfId="848">
      <pivotArea dataOnly="0" labelOnly="1" outline="0" fieldPosition="0">
        <references count="3">
          <reference field="4" count="1" selected="0">
            <x v="2"/>
          </reference>
          <reference field="5" count="1">
            <x v="106"/>
          </reference>
          <reference field="19" count="1" selected="0">
            <x v="64"/>
          </reference>
        </references>
      </pivotArea>
    </format>
    <format dxfId="847">
      <pivotArea dataOnly="0" labelOnly="1" outline="0" fieldPosition="0">
        <references count="3">
          <reference field="4" count="1" selected="0">
            <x v="2"/>
          </reference>
          <reference field="5" count="1">
            <x v="5"/>
          </reference>
          <reference field="19" count="1" selected="0">
            <x v="65"/>
          </reference>
        </references>
      </pivotArea>
    </format>
    <format dxfId="846">
      <pivotArea dataOnly="0" labelOnly="1" outline="0" fieldPosition="0">
        <references count="3">
          <reference field="4" count="1" selected="0">
            <x v="2"/>
          </reference>
          <reference field="5" count="1">
            <x v="3"/>
          </reference>
          <reference field="19" count="1" selected="0">
            <x v="82"/>
          </reference>
        </references>
      </pivotArea>
    </format>
    <format dxfId="845">
      <pivotArea dataOnly="0" labelOnly="1" outline="0" fieldPosition="0">
        <references count="3">
          <reference field="4" count="1" selected="0">
            <x v="2"/>
          </reference>
          <reference field="5" count="1">
            <x v="7"/>
          </reference>
          <reference field="19" count="1" selected="0">
            <x v="83"/>
          </reference>
        </references>
      </pivotArea>
    </format>
    <format dxfId="844">
      <pivotArea dataOnly="0" labelOnly="1" outline="0" fieldPosition="0">
        <references count="3">
          <reference field="4" count="1" selected="0">
            <x v="2"/>
          </reference>
          <reference field="5" count="1">
            <x v="2"/>
          </reference>
          <reference field="19" count="1" selected="0">
            <x v="84"/>
          </reference>
        </references>
      </pivotArea>
    </format>
    <format dxfId="843">
      <pivotArea dataOnly="0" labelOnly="1" outline="0" fieldPosition="0">
        <references count="3">
          <reference field="4" count="1" selected="0">
            <x v="2"/>
          </reference>
          <reference field="5" count="1">
            <x v="0"/>
          </reference>
          <reference field="19" count="1" selected="0">
            <x v="85"/>
          </reference>
        </references>
      </pivotArea>
    </format>
    <format dxfId="842">
      <pivotArea dataOnly="0" labelOnly="1" outline="0" fieldPosition="0">
        <references count="3">
          <reference field="4" count="1" selected="0">
            <x v="2"/>
          </reference>
          <reference field="5" count="1">
            <x v="29"/>
          </reference>
          <reference field="19" count="1" selected="0">
            <x v="86"/>
          </reference>
        </references>
      </pivotArea>
    </format>
    <format dxfId="841">
      <pivotArea dataOnly="0" labelOnly="1" outline="0" fieldPosition="0">
        <references count="3">
          <reference field="4" count="1" selected="0">
            <x v="2"/>
          </reference>
          <reference field="5" count="1">
            <x v="82"/>
          </reference>
          <reference field="19" count="1" selected="0">
            <x v="87"/>
          </reference>
        </references>
      </pivotArea>
    </format>
    <format dxfId="840">
      <pivotArea dataOnly="0" labelOnly="1" outline="0" fieldPosition="0">
        <references count="3">
          <reference field="4" count="1" selected="0">
            <x v="2"/>
          </reference>
          <reference field="5" count="1">
            <x v="85"/>
          </reference>
          <reference field="19" count="1" selected="0">
            <x v="88"/>
          </reference>
        </references>
      </pivotArea>
    </format>
    <format dxfId="839">
      <pivotArea dataOnly="0" labelOnly="1" outline="0" fieldPosition="0">
        <references count="3">
          <reference field="4" count="1" selected="0">
            <x v="2"/>
          </reference>
          <reference field="5" count="1">
            <x v="101"/>
          </reference>
          <reference field="19" count="1" selected="0">
            <x v="89"/>
          </reference>
        </references>
      </pivotArea>
    </format>
    <format dxfId="838">
      <pivotArea dataOnly="0" labelOnly="1" outline="0" fieldPosition="0">
        <references count="3">
          <reference field="4" count="1" selected="0">
            <x v="2"/>
          </reference>
          <reference field="5" count="1">
            <x v="13"/>
          </reference>
          <reference field="19" count="1" selected="0">
            <x v="90"/>
          </reference>
        </references>
      </pivotArea>
    </format>
    <format dxfId="837">
      <pivotArea dataOnly="0" labelOnly="1" outline="0" fieldPosition="0">
        <references count="3">
          <reference field="4" count="1" selected="0">
            <x v="2"/>
          </reference>
          <reference field="5" count="1">
            <x v="62"/>
          </reference>
          <reference field="19" count="1" selected="0">
            <x v="91"/>
          </reference>
        </references>
      </pivotArea>
    </format>
    <format dxfId="836">
      <pivotArea dataOnly="0" labelOnly="1" outline="0" fieldPosition="0">
        <references count="3">
          <reference field="4" count="1" selected="0">
            <x v="2"/>
          </reference>
          <reference field="5" count="1">
            <x v="113"/>
          </reference>
          <reference field="19" count="1" selected="0">
            <x v="112"/>
          </reference>
        </references>
      </pivotArea>
    </format>
    <format dxfId="835">
      <pivotArea dataOnly="0" labelOnly="1" outline="0" fieldPosition="0">
        <references count="3">
          <reference field="4" count="1" selected="0">
            <x v="2"/>
          </reference>
          <reference field="5" count="1">
            <x v="121"/>
          </reference>
          <reference field="19" count="1" selected="0">
            <x v="119"/>
          </reference>
        </references>
      </pivotArea>
    </format>
    <format dxfId="834">
      <pivotArea dataOnly="0" labelOnly="1" outline="0" fieldPosition="0">
        <references count="3">
          <reference field="4" count="1" selected="0">
            <x v="2"/>
          </reference>
          <reference field="5" count="1">
            <x v="122"/>
          </reference>
          <reference field="19" count="1" selected="0">
            <x v="120"/>
          </reference>
        </references>
      </pivotArea>
    </format>
    <format dxfId="833">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32">
      <pivotArea dataOnly="0" labelOnly="1" outline="0" fieldPosition="0">
        <references count="1">
          <reference field="4" count="1">
            <x v="3"/>
          </reference>
        </references>
      </pivotArea>
    </format>
    <format dxfId="831">
      <pivotArea dataOnly="0" labelOnly="1" outline="0" fieldPosition="0">
        <references count="2">
          <reference field="4" count="1" selected="0">
            <x v="3"/>
          </reference>
          <reference field="19" count="7">
            <x v="100"/>
            <x v="104"/>
            <x v="105"/>
            <x v="117"/>
            <x v="122"/>
            <x v="127"/>
            <x v="128"/>
          </reference>
        </references>
      </pivotArea>
    </format>
    <format dxfId="830">
      <pivotArea dataOnly="0" labelOnly="1" outline="0" fieldPosition="0">
        <references count="3">
          <reference field="4" count="1" selected="0">
            <x v="3"/>
          </reference>
          <reference field="5" count="1">
            <x v="60"/>
          </reference>
          <reference field="19" count="1" selected="0">
            <x v="100"/>
          </reference>
        </references>
      </pivotArea>
    </format>
    <format dxfId="829">
      <pivotArea dataOnly="0" labelOnly="1" outline="0" fieldPosition="0">
        <references count="3">
          <reference field="4" count="1" selected="0">
            <x v="3"/>
          </reference>
          <reference field="5" count="1">
            <x v="20"/>
          </reference>
          <reference field="19" count="1" selected="0">
            <x v="104"/>
          </reference>
        </references>
      </pivotArea>
    </format>
    <format dxfId="828">
      <pivotArea dataOnly="0" labelOnly="1" outline="0" fieldPosition="0">
        <references count="3">
          <reference field="4" count="1" selected="0">
            <x v="3"/>
          </reference>
          <reference field="5" count="1">
            <x v="21"/>
          </reference>
          <reference field="19" count="1" selected="0">
            <x v="105"/>
          </reference>
        </references>
      </pivotArea>
    </format>
    <format dxfId="827">
      <pivotArea dataOnly="0" labelOnly="1" outline="0" fieldPosition="0">
        <references count="3">
          <reference field="4" count="1" selected="0">
            <x v="3"/>
          </reference>
          <reference field="5" count="1">
            <x v="119"/>
          </reference>
          <reference field="19" count="1" selected="0">
            <x v="117"/>
          </reference>
        </references>
      </pivotArea>
    </format>
    <format dxfId="826">
      <pivotArea dataOnly="0" labelOnly="1" outline="0" fieldPosition="0">
        <references count="3">
          <reference field="4" count="1" selected="0">
            <x v="3"/>
          </reference>
          <reference field="5" count="1">
            <x v="124"/>
          </reference>
          <reference field="19" count="1" selected="0">
            <x v="122"/>
          </reference>
        </references>
      </pivotArea>
    </format>
    <format dxfId="825">
      <pivotArea dataOnly="0" labelOnly="1" outline="0" fieldPosition="0">
        <references count="3">
          <reference field="4" count="1" selected="0">
            <x v="3"/>
          </reference>
          <reference field="5" count="1">
            <x v="129"/>
          </reference>
          <reference field="19" count="1" selected="0">
            <x v="127"/>
          </reference>
        </references>
      </pivotArea>
    </format>
    <format dxfId="824">
      <pivotArea dataOnly="0" labelOnly="1" outline="0" fieldPosition="0">
        <references count="3">
          <reference field="4" count="1" selected="0">
            <x v="3"/>
          </reference>
          <reference field="5" count="1">
            <x v="133"/>
          </reference>
          <reference field="19" count="1" selected="0">
            <x v="128"/>
          </reference>
        </references>
      </pivotArea>
    </format>
    <format dxfId="823">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22">
      <pivotArea dataOnly="0" labelOnly="1" outline="0" fieldPosition="0">
        <references count="1">
          <reference field="4" count="1">
            <x v="4"/>
          </reference>
        </references>
      </pivotArea>
    </format>
    <format dxfId="821">
      <pivotArea dataOnly="0" labelOnly="1" outline="0" fieldPosition="0">
        <references count="2">
          <reference field="4" count="1" selected="0">
            <x v="4"/>
          </reference>
          <reference field="19" count="9">
            <x v="48"/>
            <x v="74"/>
            <x v="76"/>
            <x v="77"/>
            <x v="78"/>
            <x v="106"/>
            <x v="108"/>
            <x v="116"/>
            <x v="118"/>
          </reference>
        </references>
      </pivotArea>
    </format>
    <format dxfId="820">
      <pivotArea dataOnly="0" labelOnly="1" outline="0" fieldPosition="0">
        <references count="3">
          <reference field="4" count="1" selected="0">
            <x v="4"/>
          </reference>
          <reference field="5" count="1">
            <x v="49"/>
          </reference>
          <reference field="19" count="1" selected="0">
            <x v="48"/>
          </reference>
        </references>
      </pivotArea>
    </format>
    <format dxfId="819">
      <pivotArea dataOnly="0" labelOnly="1" outline="0" fieldPosition="0">
        <references count="3">
          <reference field="4" count="1" selected="0">
            <x v="4"/>
          </reference>
          <reference field="5" count="1">
            <x v="25"/>
          </reference>
          <reference field="19" count="1" selected="0">
            <x v="74"/>
          </reference>
        </references>
      </pivotArea>
    </format>
    <format dxfId="818">
      <pivotArea dataOnly="0" labelOnly="1" outline="0" fieldPosition="0">
        <references count="3">
          <reference field="4" count="1" selected="0">
            <x v="4"/>
          </reference>
          <reference field="5" count="1">
            <x v="45"/>
          </reference>
          <reference field="19" count="1" selected="0">
            <x v="76"/>
          </reference>
        </references>
      </pivotArea>
    </format>
    <format dxfId="817">
      <pivotArea dataOnly="0" labelOnly="1" outline="0" fieldPosition="0">
        <references count="3">
          <reference field="4" count="1" selected="0">
            <x v="4"/>
          </reference>
          <reference field="5" count="1">
            <x v="44"/>
          </reference>
          <reference field="19" count="1" selected="0">
            <x v="77"/>
          </reference>
        </references>
      </pivotArea>
    </format>
    <format dxfId="816">
      <pivotArea dataOnly="0" labelOnly="1" outline="0" fieldPosition="0">
        <references count="3">
          <reference field="4" count="1" selected="0">
            <x v="4"/>
          </reference>
          <reference field="5" count="1">
            <x v="34"/>
          </reference>
          <reference field="19" count="1" selected="0">
            <x v="78"/>
          </reference>
        </references>
      </pivotArea>
    </format>
    <format dxfId="815">
      <pivotArea dataOnly="0" labelOnly="1" outline="0" fieldPosition="0">
        <references count="3">
          <reference field="4" count="1" selected="0">
            <x v="4"/>
          </reference>
          <reference field="5" count="1">
            <x v="107"/>
          </reference>
          <reference field="19" count="1" selected="0">
            <x v="106"/>
          </reference>
        </references>
      </pivotArea>
    </format>
    <format dxfId="814">
      <pivotArea dataOnly="0" labelOnly="1" outline="0" fieldPosition="0">
        <references count="3">
          <reference field="4" count="1" selected="0">
            <x v="4"/>
          </reference>
          <reference field="5" count="1">
            <x v="109"/>
          </reference>
          <reference field="19" count="1" selected="0">
            <x v="108"/>
          </reference>
        </references>
      </pivotArea>
    </format>
    <format dxfId="813">
      <pivotArea dataOnly="0" labelOnly="1" outline="0" fieldPosition="0">
        <references count="3">
          <reference field="4" count="1" selected="0">
            <x v="4"/>
          </reference>
          <reference field="5" count="1">
            <x v="118"/>
          </reference>
          <reference field="19" count="1" selected="0">
            <x v="116"/>
          </reference>
        </references>
      </pivotArea>
    </format>
    <format dxfId="812">
      <pivotArea dataOnly="0" labelOnly="1" outline="0" fieldPosition="0">
        <references count="3">
          <reference field="4" count="1" selected="0">
            <x v="4"/>
          </reference>
          <reference field="5" count="1">
            <x v="120"/>
          </reference>
          <reference field="19" count="1" selected="0">
            <x v="118"/>
          </reference>
        </references>
      </pivotArea>
    </format>
    <format dxfId="811">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10">
      <pivotArea dataOnly="0" labelOnly="1" outline="0" fieldPosition="0">
        <references count="1">
          <reference field="4" count="1">
            <x v="5"/>
          </reference>
        </references>
      </pivotArea>
    </format>
    <format dxfId="809">
      <pivotArea dataOnly="0" labelOnly="1" outline="0" fieldPosition="0">
        <references count="2">
          <reference field="4" count="1" selected="0">
            <x v="5"/>
          </reference>
          <reference field="19" count="3">
            <x v="101"/>
            <x v="102"/>
            <x v="132"/>
          </reference>
        </references>
      </pivotArea>
    </format>
    <format dxfId="808">
      <pivotArea dataOnly="0" labelOnly="1" outline="0" fieldPosition="0">
        <references count="3">
          <reference field="4" count="1" selected="0">
            <x v="5"/>
          </reference>
          <reference field="5" count="1">
            <x v="47"/>
          </reference>
          <reference field="19" count="1" selected="0">
            <x v="101"/>
          </reference>
        </references>
      </pivotArea>
    </format>
    <format dxfId="807">
      <pivotArea dataOnly="0" labelOnly="1" outline="0" fieldPosition="0">
        <references count="3">
          <reference field="4" count="1" selected="0">
            <x v="5"/>
          </reference>
          <reference field="5" count="1">
            <x v="14"/>
          </reference>
          <reference field="19" count="1" selected="0">
            <x v="102"/>
          </reference>
        </references>
      </pivotArea>
    </format>
    <format dxfId="806">
      <pivotArea dataOnly="0" labelOnly="1" outline="0" fieldPosition="0">
        <references count="3">
          <reference field="4" count="1" selected="0">
            <x v="5"/>
          </reference>
          <reference field="5" count="1">
            <x v="134"/>
          </reference>
          <reference field="19" count="1" selected="0">
            <x v="132"/>
          </reference>
        </references>
      </pivotArea>
    </format>
    <format dxfId="805">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04">
      <pivotArea dataOnly="0" labelOnly="1" outline="0" fieldPosition="0">
        <references count="1">
          <reference field="4" count="1">
            <x v="6"/>
          </reference>
        </references>
      </pivotArea>
    </format>
    <format dxfId="803">
      <pivotArea dataOnly="0" labelOnly="1" outline="0" fieldPosition="0">
        <references count="2">
          <reference field="4" count="1" selected="0">
            <x v="6"/>
          </reference>
          <reference field="19" count="3">
            <x v="56"/>
            <x v="57"/>
            <x v="58"/>
          </reference>
        </references>
      </pivotArea>
    </format>
    <format dxfId="802">
      <pivotArea dataOnly="0" labelOnly="1" outline="0" fieldPosition="0">
        <references count="3">
          <reference field="4" count="1" selected="0">
            <x v="6"/>
          </reference>
          <reference field="5" count="1">
            <x v="48"/>
          </reference>
          <reference field="19" count="1" selected="0">
            <x v="56"/>
          </reference>
        </references>
      </pivotArea>
    </format>
    <format dxfId="801">
      <pivotArea dataOnly="0" labelOnly="1" outline="0" fieldPosition="0">
        <references count="3">
          <reference field="4" count="1" selected="0">
            <x v="6"/>
          </reference>
          <reference field="5" count="1">
            <x v="23"/>
          </reference>
          <reference field="19" count="1" selected="0">
            <x v="57"/>
          </reference>
        </references>
      </pivotArea>
    </format>
    <format dxfId="800">
      <pivotArea dataOnly="0" labelOnly="1" outline="0" fieldPosition="0">
        <references count="3">
          <reference field="4" count="1" selected="0">
            <x v="6"/>
          </reference>
          <reference field="5" count="1">
            <x v="67"/>
          </reference>
          <reference field="19" count="1" selected="0">
            <x v="58"/>
          </reference>
        </references>
      </pivotArea>
    </format>
    <format dxfId="799">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8">
      <pivotArea dataOnly="0" labelOnly="1" outline="0" fieldPosition="0">
        <references count="1">
          <reference field="4" count="1">
            <x v="7"/>
          </reference>
        </references>
      </pivotArea>
    </format>
    <format dxfId="797">
      <pivotArea dataOnly="0" labelOnly="1" outline="0" fieldPosition="0">
        <references count="2">
          <reference field="4" count="1" selected="0">
            <x v="7"/>
          </reference>
          <reference field="19" count="2">
            <x v="59"/>
            <x v="79"/>
          </reference>
        </references>
      </pivotArea>
    </format>
    <format dxfId="796">
      <pivotArea dataOnly="0" labelOnly="1" outline="0" fieldPosition="0">
        <references count="3">
          <reference field="4" count="1" selected="0">
            <x v="7"/>
          </reference>
          <reference field="5" count="1">
            <x v="92"/>
          </reference>
          <reference field="19" count="1" selected="0">
            <x v="59"/>
          </reference>
        </references>
      </pivotArea>
    </format>
    <format dxfId="795">
      <pivotArea dataOnly="0" labelOnly="1" outline="0" fieldPosition="0">
        <references count="3">
          <reference field="4" count="1" selected="0">
            <x v="7"/>
          </reference>
          <reference field="5" count="1">
            <x v="68"/>
          </reference>
          <reference field="19" count="1" selected="0">
            <x v="79"/>
          </reference>
        </references>
      </pivotArea>
    </format>
    <format dxfId="794">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93">
      <pivotArea dataOnly="0" labelOnly="1" outline="0" fieldPosition="0">
        <references count="1">
          <reference field="4" count="1">
            <x v="8"/>
          </reference>
        </references>
      </pivotArea>
    </format>
    <format dxfId="792">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91">
      <pivotArea dataOnly="0" labelOnly="1" outline="0" fieldPosition="0">
        <references count="3">
          <reference field="4" count="1" selected="0">
            <x v="8"/>
          </reference>
          <reference field="5" count="1">
            <x v="54"/>
          </reference>
          <reference field="19" count="1" selected="0">
            <x v="43"/>
          </reference>
        </references>
      </pivotArea>
    </format>
    <format dxfId="790">
      <pivotArea dataOnly="0" labelOnly="1" outline="0" fieldPosition="0">
        <references count="3">
          <reference field="4" count="1" selected="0">
            <x v="8"/>
          </reference>
          <reference field="5" count="1">
            <x v="46"/>
          </reference>
          <reference field="19" count="1" selected="0">
            <x v="45"/>
          </reference>
        </references>
      </pivotArea>
    </format>
    <format dxfId="789">
      <pivotArea dataOnly="0" labelOnly="1" outline="0" fieldPosition="0">
        <references count="3">
          <reference field="4" count="1" selected="0">
            <x v="8"/>
          </reference>
          <reference field="5" count="1">
            <x v="71"/>
          </reference>
          <reference field="19" count="1" selected="0">
            <x v="46"/>
          </reference>
        </references>
      </pivotArea>
    </format>
    <format dxfId="788">
      <pivotArea dataOnly="0" labelOnly="1" outline="0" fieldPosition="0">
        <references count="3">
          <reference field="4" count="1" selected="0">
            <x v="8"/>
          </reference>
          <reference field="5" count="1">
            <x v="42"/>
          </reference>
          <reference field="19" count="1" selected="0">
            <x v="47"/>
          </reference>
        </references>
      </pivotArea>
    </format>
    <format dxfId="787">
      <pivotArea dataOnly="0" labelOnly="1" outline="0" fieldPosition="0">
        <references count="3">
          <reference field="4" count="1" selected="0">
            <x v="8"/>
          </reference>
          <reference field="5" count="1">
            <x v="32"/>
          </reference>
          <reference field="19" count="1" selected="0">
            <x v="51"/>
          </reference>
        </references>
      </pivotArea>
    </format>
    <format dxfId="786">
      <pivotArea dataOnly="0" labelOnly="1" outline="0" fieldPosition="0">
        <references count="3">
          <reference field="4" count="1" selected="0">
            <x v="8"/>
          </reference>
          <reference field="5" count="1">
            <x v="33"/>
          </reference>
          <reference field="19" count="1" selected="0">
            <x v="52"/>
          </reference>
        </references>
      </pivotArea>
    </format>
    <format dxfId="785">
      <pivotArea dataOnly="0" labelOnly="1" outline="0" fieldPosition="0">
        <references count="3">
          <reference field="4" count="1" selected="0">
            <x v="8"/>
          </reference>
          <reference field="5" count="1">
            <x v="31"/>
          </reference>
          <reference field="19" count="1" selected="0">
            <x v="53"/>
          </reference>
        </references>
      </pivotArea>
    </format>
    <format dxfId="784">
      <pivotArea dataOnly="0" labelOnly="1" outline="0" fieldPosition="0">
        <references count="3">
          <reference field="4" count="1" selected="0">
            <x v="8"/>
          </reference>
          <reference field="5" count="1">
            <x v="73"/>
          </reference>
          <reference field="19" count="1" selected="0">
            <x v="54"/>
          </reference>
        </references>
      </pivotArea>
    </format>
    <format dxfId="783">
      <pivotArea dataOnly="0" labelOnly="1" outline="0" fieldPosition="0">
        <references count="3">
          <reference field="4" count="1" selected="0">
            <x v="8"/>
          </reference>
          <reference field="5" count="1">
            <x v="86"/>
          </reference>
          <reference field="19" count="1" selected="0">
            <x v="55"/>
          </reference>
        </references>
      </pivotArea>
    </format>
    <format dxfId="782">
      <pivotArea dataOnly="0" labelOnly="1" outline="0" fieldPosition="0">
        <references count="3">
          <reference field="4" count="1" selected="0">
            <x v="8"/>
          </reference>
          <reference field="5" count="1">
            <x v="19"/>
          </reference>
          <reference field="19" count="1" selected="0">
            <x v="70"/>
          </reference>
        </references>
      </pivotArea>
    </format>
    <format dxfId="781">
      <pivotArea dataOnly="0" labelOnly="1" outline="0" fieldPosition="0">
        <references count="3">
          <reference field="4" count="1" selected="0">
            <x v="8"/>
          </reference>
          <reference field="5" count="1">
            <x v="15"/>
          </reference>
          <reference field="19" count="1" selected="0">
            <x v="71"/>
          </reference>
        </references>
      </pivotArea>
    </format>
    <format dxfId="780">
      <pivotArea dataOnly="0" labelOnly="1" outline="0" fieldPosition="0">
        <references count="3">
          <reference field="4" count="1" selected="0">
            <x v="8"/>
          </reference>
          <reference field="5" count="1">
            <x v="10"/>
          </reference>
          <reference field="19" count="1" selected="0">
            <x v="72"/>
          </reference>
        </references>
      </pivotArea>
    </format>
    <format dxfId="779">
      <pivotArea dataOnly="0" labelOnly="1" outline="0" fieldPosition="0">
        <references count="3">
          <reference field="4" count="1" selected="0">
            <x v="8"/>
          </reference>
          <reference field="5" count="1">
            <x v="75"/>
          </reference>
          <reference field="19" count="1" selected="0">
            <x v="73"/>
          </reference>
        </references>
      </pivotArea>
    </format>
    <format dxfId="778">
      <pivotArea dataOnly="0" labelOnly="1" outline="0" fieldPosition="0">
        <references count="3">
          <reference field="4" count="1" selected="0">
            <x v="8"/>
          </reference>
          <reference field="5" count="1">
            <x v="70"/>
          </reference>
          <reference field="19" count="1" selected="0">
            <x v="75"/>
          </reference>
        </references>
      </pivotArea>
    </format>
    <format dxfId="777">
      <pivotArea dataOnly="0" labelOnly="1" outline="0" fieldPosition="0">
        <references count="3">
          <reference field="4" count="1" selected="0">
            <x v="8"/>
          </reference>
          <reference field="5" count="1">
            <x v="112"/>
          </reference>
          <reference field="19" count="1" selected="0">
            <x v="111"/>
          </reference>
        </references>
      </pivotArea>
    </format>
    <format dxfId="776">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75">
      <pivotArea dataOnly="0" labelOnly="1" outline="0" fieldPosition="0">
        <references count="1">
          <reference field="4" count="1">
            <x v="9"/>
          </reference>
        </references>
      </pivotArea>
    </format>
    <format dxfId="774">
      <pivotArea dataOnly="0" labelOnly="1" outline="0" fieldPosition="0">
        <references count="2">
          <reference field="4" count="1" selected="0">
            <x v="9"/>
          </reference>
          <reference field="19" count="3">
            <x v="99"/>
            <x v="123"/>
            <x v="124"/>
          </reference>
        </references>
      </pivotArea>
    </format>
    <format dxfId="773">
      <pivotArea dataOnly="0" labelOnly="1" outline="0" fieldPosition="0">
        <references count="3">
          <reference field="4" count="1" selected="0">
            <x v="9"/>
          </reference>
          <reference field="5" count="1">
            <x v="56"/>
          </reference>
          <reference field="19" count="1" selected="0">
            <x v="99"/>
          </reference>
        </references>
      </pivotArea>
    </format>
    <format dxfId="772">
      <pivotArea dataOnly="0" labelOnly="1" outline="0" fieldPosition="0">
        <references count="3">
          <reference field="4" count="1" selected="0">
            <x v="9"/>
          </reference>
          <reference field="5" count="1">
            <x v="125"/>
          </reference>
          <reference field="19" count="1" selected="0">
            <x v="123"/>
          </reference>
        </references>
      </pivotArea>
    </format>
    <format dxfId="771">
      <pivotArea dataOnly="0" labelOnly="1" outline="0" fieldPosition="0">
        <references count="3">
          <reference field="4" count="1" selected="0">
            <x v="9"/>
          </reference>
          <reference field="5" count="1">
            <x v="126"/>
          </reference>
          <reference field="19" count="1" selected="0">
            <x v="124"/>
          </reference>
        </references>
      </pivotArea>
    </format>
    <format dxfId="770">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9">
      <pivotArea dataOnly="0" labelOnly="1" outline="0" fieldPosition="0">
        <references count="1">
          <reference field="4" count="1">
            <x v="10"/>
          </reference>
        </references>
      </pivotArea>
    </format>
    <format dxfId="768">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7">
      <pivotArea dataOnly="0" labelOnly="1" outline="0" fieldPosition="0">
        <references count="3">
          <reference field="4" count="1" selected="0">
            <x v="10"/>
          </reference>
          <reference field="5" count="2">
            <x v="84"/>
            <x v="116"/>
          </reference>
          <reference field="19" count="1" selected="0">
            <x v="0"/>
          </reference>
        </references>
      </pivotArea>
    </format>
    <format dxfId="766">
      <pivotArea dataOnly="0" labelOnly="1" outline="0" fieldPosition="0">
        <references count="3">
          <reference field="4" count="1" selected="0">
            <x v="10"/>
          </reference>
          <reference field="5" count="1">
            <x v="94"/>
          </reference>
          <reference field="19" count="1" selected="0">
            <x v="1"/>
          </reference>
        </references>
      </pivotArea>
    </format>
    <format dxfId="765">
      <pivotArea dataOnly="0" labelOnly="1" outline="0" fieldPosition="0">
        <references count="3">
          <reference field="4" count="1" selected="0">
            <x v="10"/>
          </reference>
          <reference field="5" count="1">
            <x v="72"/>
          </reference>
          <reference field="19" count="1" selected="0">
            <x v="2"/>
          </reference>
        </references>
      </pivotArea>
    </format>
    <format dxfId="764">
      <pivotArea dataOnly="0" labelOnly="1" outline="0" fieldPosition="0">
        <references count="3">
          <reference field="4" count="1" selected="0">
            <x v="10"/>
          </reference>
          <reference field="5" count="1">
            <x v="96"/>
          </reference>
          <reference field="19" count="1" selected="0">
            <x v="3"/>
          </reference>
        </references>
      </pivotArea>
    </format>
    <format dxfId="763">
      <pivotArea dataOnly="0" labelOnly="1" outline="0" fieldPosition="0">
        <references count="3">
          <reference field="4" count="1" selected="0">
            <x v="10"/>
          </reference>
          <reference field="5" count="1">
            <x v="95"/>
          </reference>
          <reference field="19" count="1" selected="0">
            <x v="4"/>
          </reference>
        </references>
      </pivotArea>
    </format>
    <format dxfId="762">
      <pivotArea dataOnly="0" labelOnly="1" outline="0" fieldPosition="0">
        <references count="3">
          <reference field="4" count="1" selected="0">
            <x v="10"/>
          </reference>
          <reference field="5" count="1">
            <x v="97"/>
          </reference>
          <reference field="19" count="1" selected="0">
            <x v="5"/>
          </reference>
        </references>
      </pivotArea>
    </format>
    <format dxfId="761">
      <pivotArea dataOnly="0" labelOnly="1" outline="0" fieldPosition="0">
        <references count="3">
          <reference field="4" count="1" selected="0">
            <x v="10"/>
          </reference>
          <reference field="5" count="1">
            <x v="87"/>
          </reference>
          <reference field="19" count="1" selected="0">
            <x v="6"/>
          </reference>
        </references>
      </pivotArea>
    </format>
    <format dxfId="760">
      <pivotArea dataOnly="0" labelOnly="1" outline="0" fieldPosition="0">
        <references count="3">
          <reference field="4" count="1" selected="0">
            <x v="10"/>
          </reference>
          <reference field="5" count="1">
            <x v="43"/>
          </reference>
          <reference field="19" count="1" selected="0">
            <x v="7"/>
          </reference>
        </references>
      </pivotArea>
    </format>
    <format dxfId="759">
      <pivotArea dataOnly="0" labelOnly="1" outline="0" fieldPosition="0">
        <references count="3">
          <reference field="4" count="1" selected="0">
            <x v="10"/>
          </reference>
          <reference field="5" count="1">
            <x v="91"/>
          </reference>
          <reference field="19" count="1" selected="0">
            <x v="8"/>
          </reference>
        </references>
      </pivotArea>
    </format>
    <format dxfId="758">
      <pivotArea dataOnly="0" labelOnly="1" outline="0" fieldPosition="0">
        <references count="3">
          <reference field="4" count="1" selected="0">
            <x v="10"/>
          </reference>
          <reference field="5" count="1">
            <x v="9"/>
          </reference>
          <reference field="19" count="1" selected="0">
            <x v="9"/>
          </reference>
        </references>
      </pivotArea>
    </format>
    <format dxfId="757">
      <pivotArea dataOnly="0" labelOnly="1" outline="0" fieldPosition="0">
        <references count="3">
          <reference field="4" count="1" selected="0">
            <x v="10"/>
          </reference>
          <reference field="5" count="1">
            <x v="8"/>
          </reference>
          <reference field="19" count="1" selected="0">
            <x v="10"/>
          </reference>
        </references>
      </pivotArea>
    </format>
    <format dxfId="756">
      <pivotArea dataOnly="0" labelOnly="1" outline="0" fieldPosition="0">
        <references count="3">
          <reference field="4" count="1" selected="0">
            <x v="10"/>
          </reference>
          <reference field="5" count="1">
            <x v="22"/>
          </reference>
          <reference field="19" count="1" selected="0">
            <x v="11"/>
          </reference>
        </references>
      </pivotArea>
    </format>
    <format dxfId="755">
      <pivotArea dataOnly="0" labelOnly="1" outline="0" fieldPosition="0">
        <references count="3">
          <reference field="4" count="1" selected="0">
            <x v="10"/>
          </reference>
          <reference field="5" count="1">
            <x v="27"/>
          </reference>
          <reference field="19" count="1" selected="0">
            <x v="12"/>
          </reference>
        </references>
      </pivotArea>
    </format>
    <format dxfId="754">
      <pivotArea dataOnly="0" labelOnly="1" outline="0" fieldPosition="0">
        <references count="3">
          <reference field="4" count="1" selected="0">
            <x v="10"/>
          </reference>
          <reference field="5" count="1">
            <x v="26"/>
          </reference>
          <reference field="19" count="1" selected="0">
            <x v="13"/>
          </reference>
        </references>
      </pivotArea>
    </format>
    <format dxfId="753">
      <pivotArea dataOnly="0" labelOnly="1" outline="0" fieldPosition="0">
        <references count="3">
          <reference field="4" count="1" selected="0">
            <x v="10"/>
          </reference>
          <reference field="5" count="1">
            <x v="41"/>
          </reference>
          <reference field="19" count="1" selected="0">
            <x v="14"/>
          </reference>
        </references>
      </pivotArea>
    </format>
    <format dxfId="752">
      <pivotArea dataOnly="0" labelOnly="1" outline="0" fieldPosition="0">
        <references count="3">
          <reference field="4" count="1" selected="0">
            <x v="10"/>
          </reference>
          <reference field="5" count="1">
            <x v="17"/>
          </reference>
          <reference field="19" count="1" selected="0">
            <x v="15"/>
          </reference>
        </references>
      </pivotArea>
    </format>
    <format dxfId="751">
      <pivotArea dataOnly="0" labelOnly="1" outline="0" fieldPosition="0">
        <references count="3">
          <reference field="4" count="1" selected="0">
            <x v="10"/>
          </reference>
          <reference field="5" count="1">
            <x v="18"/>
          </reference>
          <reference field="19" count="1" selected="0">
            <x v="16"/>
          </reference>
        </references>
      </pivotArea>
    </format>
    <format dxfId="750">
      <pivotArea dataOnly="0" labelOnly="1" outline="0" fieldPosition="0">
        <references count="3">
          <reference field="4" count="1" selected="0">
            <x v="10"/>
          </reference>
          <reference field="5" count="1">
            <x v="51"/>
          </reference>
          <reference field="19" count="1" selected="0">
            <x v="17"/>
          </reference>
        </references>
      </pivotArea>
    </format>
    <format dxfId="749">
      <pivotArea dataOnly="0" labelOnly="1" outline="0" fieldPosition="0">
        <references count="3">
          <reference field="4" count="1" selected="0">
            <x v="10"/>
          </reference>
          <reference field="5" count="1">
            <x v="52"/>
          </reference>
          <reference field="19" count="1" selected="0">
            <x v="18"/>
          </reference>
        </references>
      </pivotArea>
    </format>
    <format dxfId="748">
      <pivotArea dataOnly="0" labelOnly="1" outline="0" fieldPosition="0">
        <references count="3">
          <reference field="4" count="1" selected="0">
            <x v="10"/>
          </reference>
          <reference field="5" count="1">
            <x v="104"/>
          </reference>
          <reference field="19" count="1" selected="0">
            <x v="19"/>
          </reference>
        </references>
      </pivotArea>
    </format>
    <format dxfId="747">
      <pivotArea dataOnly="0" labelOnly="1" outline="0" fieldPosition="0">
        <references count="3">
          <reference field="4" count="1" selected="0">
            <x v="10"/>
          </reference>
          <reference field="5" count="1">
            <x v="64"/>
          </reference>
          <reference field="19" count="1" selected="0">
            <x v="20"/>
          </reference>
        </references>
      </pivotArea>
    </format>
    <format dxfId="746">
      <pivotArea dataOnly="0" labelOnly="1" outline="0" fieldPosition="0">
        <references count="3">
          <reference field="4" count="1" selected="0">
            <x v="10"/>
          </reference>
          <reference field="5" count="1">
            <x v="74"/>
          </reference>
          <reference field="19" count="1" selected="0">
            <x v="81"/>
          </reference>
        </references>
      </pivotArea>
    </format>
    <format dxfId="745">
      <pivotArea dataOnly="0" labelOnly="1" outline="0" fieldPosition="0">
        <references count="3">
          <reference field="4" count="1" selected="0">
            <x v="10"/>
          </reference>
          <reference field="5" count="1">
            <x v="131"/>
          </reference>
          <reference field="19" count="1" selected="0">
            <x v="130"/>
          </reference>
        </references>
      </pivotArea>
    </format>
    <format dxfId="744">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43">
      <pivotArea dataOnly="0" labelOnly="1" outline="0" fieldPosition="0">
        <references count="1">
          <reference field="4" count="1">
            <x v="11"/>
          </reference>
        </references>
      </pivotArea>
    </format>
    <format dxfId="742">
      <pivotArea dataOnly="0" labelOnly="1" outline="0" fieldPosition="0">
        <references count="2">
          <reference field="4" count="1" selected="0">
            <x v="11"/>
          </reference>
          <reference field="19" count="4">
            <x v="97"/>
            <x v="98"/>
            <x v="125"/>
            <x v="126"/>
          </reference>
        </references>
      </pivotArea>
    </format>
    <format dxfId="741">
      <pivotArea dataOnly="0" labelOnly="1" outline="0" fieldPosition="0">
        <references count="3">
          <reference field="4" count="1" selected="0">
            <x v="11"/>
          </reference>
          <reference field="5" count="1">
            <x v="59"/>
          </reference>
          <reference field="19" count="1" selected="0">
            <x v="97"/>
          </reference>
        </references>
      </pivotArea>
    </format>
    <format dxfId="740">
      <pivotArea dataOnly="0" labelOnly="1" outline="0" fieldPosition="0">
        <references count="3">
          <reference field="4" count="1" selected="0">
            <x v="11"/>
          </reference>
          <reference field="5" count="1">
            <x v="58"/>
          </reference>
          <reference field="19" count="1" selected="0">
            <x v="98"/>
          </reference>
        </references>
      </pivotArea>
    </format>
    <format dxfId="739">
      <pivotArea dataOnly="0" labelOnly="1" outline="0" fieldPosition="0">
        <references count="3">
          <reference field="4" count="1" selected="0">
            <x v="11"/>
          </reference>
          <reference field="5" count="1">
            <x v="127"/>
          </reference>
          <reference field="19" count="1" selected="0">
            <x v="125"/>
          </reference>
        </references>
      </pivotArea>
    </format>
    <format dxfId="738">
      <pivotArea dataOnly="0" labelOnly="1" outline="0" fieldPosition="0">
        <references count="3">
          <reference field="4" count="1" selected="0">
            <x v="11"/>
          </reference>
          <reference field="5" count="1">
            <x v="128"/>
          </reference>
          <reference field="19" count="1" selected="0">
            <x v="126"/>
          </reference>
        </references>
      </pivotArea>
    </format>
    <format dxfId="737">
      <pivotArea outline="0" collapsedLevelsAreSubtotals="1" fieldPosition="0">
        <references count="3">
          <reference field="4" count="1" selected="0">
            <x v="12"/>
          </reference>
          <reference field="5" count="1" selected="0">
            <x v="63"/>
          </reference>
          <reference field="19" count="1" selected="0">
            <x v="103"/>
          </reference>
        </references>
      </pivotArea>
    </format>
    <format dxfId="736">
      <pivotArea dataOnly="0" labelOnly="1" outline="0" fieldPosition="0">
        <references count="1">
          <reference field="4" count="1">
            <x v="12"/>
          </reference>
        </references>
      </pivotArea>
    </format>
    <format dxfId="735">
      <pivotArea dataOnly="0" labelOnly="1" outline="0" fieldPosition="0">
        <references count="2">
          <reference field="4" count="1" selected="0">
            <x v="12"/>
          </reference>
          <reference field="19" count="1">
            <x v="103"/>
          </reference>
        </references>
      </pivotArea>
    </format>
    <format dxfId="734">
      <pivotArea dataOnly="0" labelOnly="1" outline="0" fieldPosition="0">
        <references count="3">
          <reference field="4" count="1" selected="0">
            <x v="12"/>
          </reference>
          <reference field="5" count="1">
            <x v="63"/>
          </reference>
          <reference field="19" count="1" selected="0">
            <x v="103"/>
          </reference>
        </references>
      </pivotArea>
    </format>
    <format dxfId="733">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32">
      <pivotArea dataOnly="0" labelOnly="1" outline="0" fieldPosition="0">
        <references count="1">
          <reference field="4" count="1">
            <x v="13"/>
          </reference>
        </references>
      </pivotArea>
    </format>
    <format dxfId="731">
      <pivotArea dataOnly="0" labelOnly="1" outline="0" fieldPosition="0">
        <references count="2">
          <reference field="4" count="1" selected="0">
            <x v="13"/>
          </reference>
          <reference field="19" count="2">
            <x v="49"/>
            <x v="50"/>
          </reference>
        </references>
      </pivotArea>
    </format>
    <format dxfId="730">
      <pivotArea dataOnly="0" labelOnly="1" outline="0" fieldPosition="0">
        <references count="3">
          <reference field="4" count="1" selected="0">
            <x v="13"/>
          </reference>
          <reference field="5" count="1">
            <x v="89"/>
          </reference>
          <reference field="19" count="1" selected="0">
            <x v="49"/>
          </reference>
        </references>
      </pivotArea>
    </format>
    <format dxfId="729">
      <pivotArea dataOnly="0" labelOnly="1" outline="0" fieldPosition="0">
        <references count="3">
          <reference field="4" count="1" selected="0">
            <x v="13"/>
          </reference>
          <reference field="5" count="1">
            <x v="90"/>
          </reference>
          <reference field="19" count="1" selected="0">
            <x v="50"/>
          </reference>
        </references>
      </pivotArea>
    </format>
    <format dxfId="728">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7">
      <pivotArea dataOnly="0" labelOnly="1" outline="0" fieldPosition="0">
        <references count="1">
          <reference field="4" count="1">
            <x v="14"/>
          </reference>
        </references>
      </pivotArea>
    </format>
    <format dxfId="726">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25">
      <pivotArea dataOnly="0" labelOnly="1" outline="0" fieldPosition="0">
        <references count="3">
          <reference field="4" count="1" selected="0">
            <x v="14"/>
          </reference>
          <reference field="5" count="1">
            <x v="79"/>
          </reference>
          <reference field="19" count="1" selected="0">
            <x v="21"/>
          </reference>
        </references>
      </pivotArea>
    </format>
    <format dxfId="724">
      <pivotArea dataOnly="0" labelOnly="1" outline="0" fieldPosition="0">
        <references count="3">
          <reference field="4" count="1" selected="0">
            <x v="14"/>
          </reference>
          <reference field="5" count="1">
            <x v="81"/>
          </reference>
          <reference field="19" count="1" selected="0">
            <x v="22"/>
          </reference>
        </references>
      </pivotArea>
    </format>
    <format dxfId="723">
      <pivotArea dataOnly="0" labelOnly="1" outline="0" fieldPosition="0">
        <references count="3">
          <reference field="4" count="1" selected="0">
            <x v="14"/>
          </reference>
          <reference field="5" count="1">
            <x v="35"/>
          </reference>
          <reference field="19" count="1" selected="0">
            <x v="23"/>
          </reference>
        </references>
      </pivotArea>
    </format>
    <format dxfId="722">
      <pivotArea dataOnly="0" labelOnly="1" outline="0" fieldPosition="0">
        <references count="3">
          <reference field="4" count="1" selected="0">
            <x v="14"/>
          </reference>
          <reference field="5" count="1">
            <x v="11"/>
          </reference>
          <reference field="19" count="1" selected="0">
            <x v="24"/>
          </reference>
        </references>
      </pivotArea>
    </format>
    <format dxfId="721">
      <pivotArea dataOnly="0" labelOnly="1" outline="0" fieldPosition="0">
        <references count="3">
          <reference field="4" count="1" selected="0">
            <x v="14"/>
          </reference>
          <reference field="5" count="1">
            <x v="38"/>
          </reference>
          <reference field="19" count="1" selected="0">
            <x v="25"/>
          </reference>
        </references>
      </pivotArea>
    </format>
    <format dxfId="720">
      <pivotArea dataOnly="0" labelOnly="1" outline="0" fieldPosition="0">
        <references count="3">
          <reference field="4" count="1" selected="0">
            <x v="14"/>
          </reference>
          <reference field="5" count="1">
            <x v="80"/>
          </reference>
          <reference field="19" count="1" selected="0">
            <x v="26"/>
          </reference>
        </references>
      </pivotArea>
    </format>
    <format dxfId="719">
      <pivotArea dataOnly="0" labelOnly="1" outline="0" fieldPosition="0">
        <references count="3">
          <reference field="4" count="1" selected="0">
            <x v="14"/>
          </reference>
          <reference field="5" count="1">
            <x v="37"/>
          </reference>
          <reference field="19" count="1" selected="0">
            <x v="27"/>
          </reference>
        </references>
      </pivotArea>
    </format>
    <format dxfId="718">
      <pivotArea dataOnly="0" labelOnly="1" outline="0" fieldPosition="0">
        <references count="3">
          <reference field="4" count="1" selected="0">
            <x v="14"/>
          </reference>
          <reference field="5" count="1">
            <x v="78"/>
          </reference>
          <reference field="19" count="1" selected="0">
            <x v="28"/>
          </reference>
        </references>
      </pivotArea>
    </format>
    <format dxfId="717">
      <pivotArea dataOnly="0" labelOnly="1" outline="0" fieldPosition="0">
        <references count="3">
          <reference field="4" count="1" selected="0">
            <x v="14"/>
          </reference>
          <reference field="5" count="1">
            <x v="100"/>
          </reference>
          <reference field="19" count="1" selected="0">
            <x v="29"/>
          </reference>
        </references>
      </pivotArea>
    </format>
    <format dxfId="716">
      <pivotArea dataOnly="0" labelOnly="1" outline="0" fieldPosition="0">
        <references count="3">
          <reference field="4" count="1" selected="0">
            <x v="14"/>
          </reference>
          <reference field="5" count="1">
            <x v="98"/>
          </reference>
          <reference field="19" count="1" selected="0">
            <x v="30"/>
          </reference>
        </references>
      </pivotArea>
    </format>
    <format dxfId="715">
      <pivotArea dataOnly="0" labelOnly="1" outline="0" fieldPosition="0">
        <references count="3">
          <reference field="4" count="1" selected="0">
            <x v="14"/>
          </reference>
          <reference field="5" count="1">
            <x v="99"/>
          </reference>
          <reference field="19" count="1" selected="0">
            <x v="31"/>
          </reference>
        </references>
      </pivotArea>
    </format>
    <format dxfId="714">
      <pivotArea dataOnly="0" labelOnly="1" outline="0" fieldPosition="0">
        <references count="3">
          <reference field="4" count="1" selected="0">
            <x v="14"/>
          </reference>
          <reference field="5" count="1">
            <x v="40"/>
          </reference>
          <reference field="19" count="1" selected="0">
            <x v="32"/>
          </reference>
        </references>
      </pivotArea>
    </format>
    <format dxfId="713">
      <pivotArea dataOnly="0" labelOnly="1" outline="0" fieldPosition="0">
        <references count="3">
          <reference field="4" count="1" selected="0">
            <x v="14"/>
          </reference>
          <reference field="5" count="1">
            <x v="39"/>
          </reference>
          <reference field="19" count="1" selected="0">
            <x v="33"/>
          </reference>
        </references>
      </pivotArea>
    </format>
    <format dxfId="712">
      <pivotArea dataOnly="0" labelOnly="1" outline="0" fieldPosition="0">
        <references count="3">
          <reference field="4" count="1" selected="0">
            <x v="14"/>
          </reference>
          <reference field="5" count="1">
            <x v="88"/>
          </reference>
          <reference field="19" count="1" selected="0">
            <x v="34"/>
          </reference>
        </references>
      </pivotArea>
    </format>
    <format dxfId="711">
      <pivotArea dataOnly="0" labelOnly="1" outline="0" fieldPosition="0">
        <references count="3">
          <reference field="4" count="1" selected="0">
            <x v="14"/>
          </reference>
          <reference field="5" count="1">
            <x v="4"/>
          </reference>
          <reference field="19" count="1" selected="0">
            <x v="66"/>
          </reference>
        </references>
      </pivotArea>
    </format>
    <format dxfId="710">
      <pivotArea dataOnly="0" labelOnly="1" outline="0" fieldPosition="0">
        <references count="3">
          <reference field="4" count="1" selected="0">
            <x v="14"/>
          </reference>
          <reference field="5" count="1">
            <x v="12"/>
          </reference>
          <reference field="19" count="1" selected="0">
            <x v="67"/>
          </reference>
        </references>
      </pivotArea>
    </format>
    <format dxfId="709">
      <pivotArea dataOnly="0" labelOnly="1" outline="0" fieldPosition="0">
        <references count="3">
          <reference field="4" count="1" selected="0">
            <x v="14"/>
          </reference>
          <reference field="5" count="1">
            <x v="103"/>
          </reference>
          <reference field="19" count="1" selected="0">
            <x v="68"/>
          </reference>
        </references>
      </pivotArea>
    </format>
    <format dxfId="708">
      <pivotArea dataOnly="0" labelOnly="1" outline="0" fieldPosition="0">
        <references count="3">
          <reference field="4" count="1" selected="0">
            <x v="14"/>
          </reference>
          <reference field="5" count="1">
            <x v="36"/>
          </reference>
          <reference field="19" count="1" selected="0">
            <x v="69"/>
          </reference>
        </references>
      </pivotArea>
    </format>
    <format dxfId="707">
      <pivotArea dataOnly="0" labelOnly="1" outline="0" fieldPosition="0">
        <references count="3">
          <reference field="4" count="1" selected="0">
            <x v="14"/>
          </reference>
          <reference field="5" count="1">
            <x v="77"/>
          </reference>
          <reference field="19" count="1" selected="0">
            <x v="80"/>
          </reference>
        </references>
      </pivotArea>
    </format>
    <format dxfId="706">
      <pivotArea dataOnly="0" labelOnly="1" outline="0" fieldPosition="0">
        <references count="3">
          <reference field="4" count="1" selected="0">
            <x v="14"/>
          </reference>
          <reference field="5" count="1">
            <x v="110"/>
          </reference>
          <reference field="19" count="1" selected="0">
            <x v="109"/>
          </reference>
        </references>
      </pivotArea>
    </format>
    <format dxfId="705">
      <pivotArea dataOnly="0" labelOnly="1" outline="0" fieldPosition="0">
        <references count="3">
          <reference field="4" count="1" selected="0">
            <x v="14"/>
          </reference>
          <reference field="5" count="1">
            <x v="130"/>
          </reference>
          <reference field="19" count="1" selected="0">
            <x v="129"/>
          </reference>
        </references>
      </pivotArea>
    </format>
    <format dxfId="704">
      <pivotArea dataOnly="0" labelOnly="1" outline="0" fieldPosition="0">
        <references count="3">
          <reference field="4" count="1" selected="0">
            <x v="14"/>
          </reference>
          <reference field="5" count="1">
            <x v="132"/>
          </reference>
          <reference field="19" count="1" selected="0">
            <x v="131"/>
          </reference>
        </references>
      </pivotArea>
    </format>
    <format dxfId="703">
      <pivotArea outline="0" collapsedLevelsAreSubtotals="1" fieldPosition="0">
        <references count="3">
          <reference field="4" count="1" selected="0">
            <x v="15"/>
          </reference>
          <reference field="5" count="1" selected="0">
            <x v="116"/>
          </reference>
          <reference field="19" count="1" selected="0">
            <x v="0"/>
          </reference>
        </references>
      </pivotArea>
    </format>
    <format dxfId="702">
      <pivotArea dataOnly="0" labelOnly="1" outline="0" fieldPosition="0">
        <references count="1">
          <reference field="4" count="1">
            <x v="15"/>
          </reference>
        </references>
      </pivotArea>
    </format>
    <format dxfId="701">
      <pivotArea dataOnly="0" labelOnly="1" outline="0" fieldPosition="0">
        <references count="2">
          <reference field="4" count="1" selected="0">
            <x v="15"/>
          </reference>
          <reference field="19" count="1">
            <x v="0"/>
          </reference>
        </references>
      </pivotArea>
    </format>
    <format dxfId="700">
      <pivotArea dataOnly="0" labelOnly="1" outline="0" fieldPosition="0">
        <references count="3">
          <reference field="4" count="1" selected="0">
            <x v="15"/>
          </reference>
          <reference field="5" count="1">
            <x v="116"/>
          </reference>
          <reference field="19" count="1" selected="0">
            <x v="0"/>
          </reference>
        </references>
      </pivotArea>
    </format>
    <format dxfId="699">
      <pivotArea grandRow="1" outline="0" collapsedLevelsAreSubtotals="1" fieldPosition="0"/>
    </format>
    <format dxfId="698">
      <pivotArea dataOnly="0" labelOnly="1" grandRow="1" outline="0" fieldPosition="0"/>
    </format>
    <format dxfId="697">
      <pivotArea type="all" dataOnly="0" outline="0" fieldPosition="0"/>
    </format>
    <format dxfId="696">
      <pivotArea dataOnly="0" labelOnly="1" outline="0" fieldPosition="0">
        <references count="1">
          <reference field="4" count="0"/>
        </references>
      </pivotArea>
    </format>
    <format dxfId="695">
      <pivotArea dataOnly="0" labelOnly="1" grandRow="1" outline="0" offset="A256" fieldPosition="0"/>
    </format>
    <format dxfId="694">
      <pivotArea field="5" type="button" dataOnly="0" labelOnly="1" outline="0" axis="axisRow" fieldPosition="2"/>
    </format>
    <format dxfId="693">
      <pivotArea dataOnly="0" labelOnly="1" grandRow="1" outline="0" offset="IV256" fieldPosition="0"/>
    </format>
    <format dxfId="692">
      <pivotArea dataOnly="0" labelOnly="1" outline="0" fieldPosition="0">
        <references count="3">
          <reference field="4" count="1" selected="0">
            <x v="0"/>
          </reference>
          <reference field="5" count="1">
            <x v="83"/>
          </reference>
          <reference field="19" count="1" selected="0">
            <x v="36"/>
          </reference>
        </references>
      </pivotArea>
    </format>
    <format dxfId="691">
      <pivotArea dataOnly="0" labelOnly="1" outline="0" fieldPosition="0">
        <references count="3">
          <reference field="4" count="1" selected="0">
            <x v="0"/>
          </reference>
          <reference field="5" count="1">
            <x v="30"/>
          </reference>
          <reference field="19" count="1" selected="0">
            <x v="37"/>
          </reference>
        </references>
      </pivotArea>
    </format>
    <format dxfId="690">
      <pivotArea dataOnly="0" labelOnly="1" outline="0" fieldPosition="0">
        <references count="3">
          <reference field="4" count="1" selected="0">
            <x v="0"/>
          </reference>
          <reference field="5" count="1">
            <x v="1"/>
          </reference>
          <reference field="19" count="1" selected="0">
            <x v="38"/>
          </reference>
        </references>
      </pivotArea>
    </format>
    <format dxfId="689">
      <pivotArea dataOnly="0" labelOnly="1" outline="0" fieldPosition="0">
        <references count="3">
          <reference field="4" count="1" selected="0">
            <x v="0"/>
          </reference>
          <reference field="5" count="1">
            <x v="16"/>
          </reference>
          <reference field="19" count="1" selected="0">
            <x v="39"/>
          </reference>
        </references>
      </pivotArea>
    </format>
    <format dxfId="688">
      <pivotArea dataOnly="0" labelOnly="1" outline="0" fieldPosition="0">
        <references count="3">
          <reference field="4" count="1" selected="0">
            <x v="0"/>
          </reference>
          <reference field="5" count="1">
            <x v="105"/>
          </reference>
          <reference field="19" count="1" selected="0">
            <x v="40"/>
          </reference>
        </references>
      </pivotArea>
    </format>
    <format dxfId="687">
      <pivotArea dataOnly="0" labelOnly="1" outline="0" fieldPosition="0">
        <references count="3">
          <reference field="4" count="1" selected="0">
            <x v="0"/>
          </reference>
          <reference field="5" count="1">
            <x v="65"/>
          </reference>
          <reference field="19" count="1" selected="0">
            <x v="41"/>
          </reference>
        </references>
      </pivotArea>
    </format>
    <format dxfId="686">
      <pivotArea dataOnly="0" labelOnly="1" outline="0" fieldPosition="0">
        <references count="3">
          <reference field="4" count="1" selected="0">
            <x v="0"/>
          </reference>
          <reference field="5" count="1">
            <x v="93"/>
          </reference>
          <reference field="19" count="1" selected="0">
            <x v="42"/>
          </reference>
        </references>
      </pivotArea>
    </format>
    <format dxfId="685">
      <pivotArea dataOnly="0" labelOnly="1" outline="0" fieldPosition="0">
        <references count="3">
          <reference field="4" count="1" selected="0">
            <x v="0"/>
          </reference>
          <reference field="5" count="1">
            <x v="76"/>
          </reference>
          <reference field="19" count="1" selected="0">
            <x v="92"/>
          </reference>
        </references>
      </pivotArea>
    </format>
    <format dxfId="684">
      <pivotArea dataOnly="0" labelOnly="1" outline="0" fieldPosition="0">
        <references count="3">
          <reference field="4" count="1" selected="0">
            <x v="0"/>
          </reference>
          <reference field="5" count="1">
            <x v="111"/>
          </reference>
          <reference field="19" count="1" selected="0">
            <x v="110"/>
          </reference>
        </references>
      </pivotArea>
    </format>
    <format dxfId="683">
      <pivotArea dataOnly="0" labelOnly="1" outline="0" fieldPosition="0">
        <references count="3">
          <reference field="4" count="1" selected="0">
            <x v="0"/>
          </reference>
          <reference field="5" count="1">
            <x v="114"/>
          </reference>
          <reference field="19" count="1" selected="0">
            <x v="113"/>
          </reference>
        </references>
      </pivotArea>
    </format>
    <format dxfId="682">
      <pivotArea dataOnly="0" labelOnly="1" outline="0" fieldPosition="0">
        <references count="3">
          <reference field="4" count="1" selected="0">
            <x v="1"/>
          </reference>
          <reference field="5" count="1">
            <x v="6"/>
          </reference>
          <reference field="19" count="1" selected="0">
            <x v="35"/>
          </reference>
        </references>
      </pivotArea>
    </format>
    <format dxfId="681">
      <pivotArea dataOnly="0" labelOnly="1" outline="0" fieldPosition="0">
        <references count="3">
          <reference field="4" count="1" selected="0">
            <x v="1"/>
          </reference>
          <reference field="5" count="1">
            <x v="28"/>
          </reference>
          <reference field="19" count="1" selected="0">
            <x v="93"/>
          </reference>
        </references>
      </pivotArea>
    </format>
    <format dxfId="680">
      <pivotArea dataOnly="0" labelOnly="1" outline="0" fieldPosition="0">
        <references count="3">
          <reference field="4" count="1" selected="0">
            <x v="1"/>
          </reference>
          <reference field="5" count="1">
            <x v="117"/>
          </reference>
          <reference field="19" count="1" selected="0">
            <x v="115"/>
          </reference>
        </references>
      </pivotArea>
    </format>
    <format dxfId="679">
      <pivotArea dataOnly="0" labelOnly="1" outline="0" fieldPosition="0">
        <references count="3">
          <reference field="4" count="1" selected="0">
            <x v="2"/>
          </reference>
          <reference field="5" count="2">
            <x v="102"/>
            <x v="116"/>
          </reference>
          <reference field="19" count="1" selected="0">
            <x v="0"/>
          </reference>
        </references>
      </pivotArea>
    </format>
    <format dxfId="678">
      <pivotArea dataOnly="0" labelOnly="1" outline="0" fieldPosition="0">
        <references count="3">
          <reference field="4" count="1" selected="0">
            <x v="2"/>
          </reference>
          <reference field="5" count="1">
            <x v="53"/>
          </reference>
          <reference field="19" count="1" selected="0">
            <x v="61"/>
          </reference>
        </references>
      </pivotArea>
    </format>
    <format dxfId="677">
      <pivotArea dataOnly="0" labelOnly="1" outline="0" fieldPosition="0">
        <references count="3">
          <reference field="4" count="1" selected="0">
            <x v="2"/>
          </reference>
          <reference field="5" count="1">
            <x v="66"/>
          </reference>
          <reference field="19" count="1" selected="0">
            <x v="63"/>
          </reference>
        </references>
      </pivotArea>
    </format>
    <format dxfId="676">
      <pivotArea dataOnly="0" labelOnly="1" outline="0" fieldPosition="0">
        <references count="3">
          <reference field="4" count="1" selected="0">
            <x v="2"/>
          </reference>
          <reference field="5" count="1">
            <x v="106"/>
          </reference>
          <reference field="19" count="1" selected="0">
            <x v="64"/>
          </reference>
        </references>
      </pivotArea>
    </format>
    <format dxfId="675">
      <pivotArea dataOnly="0" labelOnly="1" outline="0" fieldPosition="0">
        <references count="3">
          <reference field="4" count="1" selected="0">
            <x v="2"/>
          </reference>
          <reference field="5" count="1">
            <x v="5"/>
          </reference>
          <reference field="19" count="1" selected="0">
            <x v="65"/>
          </reference>
        </references>
      </pivotArea>
    </format>
    <format dxfId="674">
      <pivotArea dataOnly="0" labelOnly="1" outline="0" fieldPosition="0">
        <references count="3">
          <reference field="4" count="1" selected="0">
            <x v="2"/>
          </reference>
          <reference field="5" count="1">
            <x v="3"/>
          </reference>
          <reference field="19" count="1" selected="0">
            <x v="82"/>
          </reference>
        </references>
      </pivotArea>
    </format>
    <format dxfId="673">
      <pivotArea dataOnly="0" labelOnly="1" outline="0" fieldPosition="0">
        <references count="3">
          <reference field="4" count="1" selected="0">
            <x v="2"/>
          </reference>
          <reference field="5" count="1">
            <x v="7"/>
          </reference>
          <reference field="19" count="1" selected="0">
            <x v="83"/>
          </reference>
        </references>
      </pivotArea>
    </format>
    <format dxfId="672">
      <pivotArea dataOnly="0" labelOnly="1" outline="0" fieldPosition="0">
        <references count="3">
          <reference field="4" count="1" selected="0">
            <x v="2"/>
          </reference>
          <reference field="5" count="1">
            <x v="2"/>
          </reference>
          <reference field="19" count="1" selected="0">
            <x v="84"/>
          </reference>
        </references>
      </pivotArea>
    </format>
    <format dxfId="671">
      <pivotArea dataOnly="0" labelOnly="1" outline="0" fieldPosition="0">
        <references count="3">
          <reference field="4" count="1" selected="0">
            <x v="2"/>
          </reference>
          <reference field="5" count="1">
            <x v="0"/>
          </reference>
          <reference field="19" count="1" selected="0">
            <x v="85"/>
          </reference>
        </references>
      </pivotArea>
    </format>
    <format dxfId="670">
      <pivotArea dataOnly="0" labelOnly="1" outline="0" fieldPosition="0">
        <references count="3">
          <reference field="4" count="1" selected="0">
            <x v="2"/>
          </reference>
          <reference field="5" count="1">
            <x v="29"/>
          </reference>
          <reference field="19" count="1" selected="0">
            <x v="86"/>
          </reference>
        </references>
      </pivotArea>
    </format>
    <format dxfId="669">
      <pivotArea dataOnly="0" labelOnly="1" outline="0" fieldPosition="0">
        <references count="3">
          <reference field="4" count="1" selected="0">
            <x v="2"/>
          </reference>
          <reference field="5" count="1">
            <x v="82"/>
          </reference>
          <reference field="19" count="1" selected="0">
            <x v="87"/>
          </reference>
        </references>
      </pivotArea>
    </format>
    <format dxfId="668">
      <pivotArea dataOnly="0" labelOnly="1" outline="0" fieldPosition="0">
        <references count="3">
          <reference field="4" count="1" selected="0">
            <x v="2"/>
          </reference>
          <reference field="5" count="1">
            <x v="85"/>
          </reference>
          <reference field="19" count="1" selected="0">
            <x v="88"/>
          </reference>
        </references>
      </pivotArea>
    </format>
    <format dxfId="667">
      <pivotArea dataOnly="0" labelOnly="1" outline="0" fieldPosition="0">
        <references count="3">
          <reference field="4" count="1" selected="0">
            <x v="2"/>
          </reference>
          <reference field="5" count="1">
            <x v="101"/>
          </reference>
          <reference field="19" count="1" selected="0">
            <x v="89"/>
          </reference>
        </references>
      </pivotArea>
    </format>
    <format dxfId="666">
      <pivotArea dataOnly="0" labelOnly="1" outline="0" fieldPosition="0">
        <references count="3">
          <reference field="4" count="1" selected="0">
            <x v="2"/>
          </reference>
          <reference field="5" count="1">
            <x v="13"/>
          </reference>
          <reference field="19" count="1" selected="0">
            <x v="90"/>
          </reference>
        </references>
      </pivotArea>
    </format>
    <format dxfId="665">
      <pivotArea dataOnly="0" labelOnly="1" outline="0" fieldPosition="0">
        <references count="3">
          <reference field="4" count="1" selected="0">
            <x v="2"/>
          </reference>
          <reference field="5" count="1">
            <x v="62"/>
          </reference>
          <reference field="19" count="1" selected="0">
            <x v="91"/>
          </reference>
        </references>
      </pivotArea>
    </format>
    <format dxfId="664">
      <pivotArea dataOnly="0" labelOnly="1" outline="0" fieldPosition="0">
        <references count="3">
          <reference field="4" count="1" selected="0">
            <x v="2"/>
          </reference>
          <reference field="5" count="1">
            <x v="113"/>
          </reference>
          <reference field="19" count="1" selected="0">
            <x v="112"/>
          </reference>
        </references>
      </pivotArea>
    </format>
    <format dxfId="663">
      <pivotArea dataOnly="0" labelOnly="1" outline="0" fieldPosition="0">
        <references count="3">
          <reference field="4" count="1" selected="0">
            <x v="2"/>
          </reference>
          <reference field="5" count="1">
            <x v="121"/>
          </reference>
          <reference field="19" count="1" selected="0">
            <x v="119"/>
          </reference>
        </references>
      </pivotArea>
    </format>
    <format dxfId="662">
      <pivotArea dataOnly="0" labelOnly="1" outline="0" fieldPosition="0">
        <references count="3">
          <reference field="4" count="1" selected="0">
            <x v="2"/>
          </reference>
          <reference field="5" count="1">
            <x v="122"/>
          </reference>
          <reference field="19" count="1" selected="0">
            <x v="120"/>
          </reference>
        </references>
      </pivotArea>
    </format>
    <format dxfId="661">
      <pivotArea dataOnly="0" labelOnly="1" outline="0" fieldPosition="0">
        <references count="3">
          <reference field="4" count="1" selected="0">
            <x v="3"/>
          </reference>
          <reference field="5" count="1">
            <x v="60"/>
          </reference>
          <reference field="19" count="1" selected="0">
            <x v="100"/>
          </reference>
        </references>
      </pivotArea>
    </format>
    <format dxfId="660">
      <pivotArea dataOnly="0" labelOnly="1" outline="0" fieldPosition="0">
        <references count="3">
          <reference field="4" count="1" selected="0">
            <x v="3"/>
          </reference>
          <reference field="5" count="1">
            <x v="20"/>
          </reference>
          <reference field="19" count="1" selected="0">
            <x v="104"/>
          </reference>
        </references>
      </pivotArea>
    </format>
    <format dxfId="659">
      <pivotArea dataOnly="0" labelOnly="1" outline="0" fieldPosition="0">
        <references count="3">
          <reference field="4" count="1" selected="0">
            <x v="3"/>
          </reference>
          <reference field="5" count="1">
            <x v="21"/>
          </reference>
          <reference field="19" count="1" selected="0">
            <x v="105"/>
          </reference>
        </references>
      </pivotArea>
    </format>
    <format dxfId="658">
      <pivotArea dataOnly="0" labelOnly="1" outline="0" fieldPosition="0">
        <references count="3">
          <reference field="4" count="1" selected="0">
            <x v="3"/>
          </reference>
          <reference field="5" count="1">
            <x v="119"/>
          </reference>
          <reference field="19" count="1" selected="0">
            <x v="117"/>
          </reference>
        </references>
      </pivotArea>
    </format>
    <format dxfId="657">
      <pivotArea dataOnly="0" labelOnly="1" outline="0" fieldPosition="0">
        <references count="3">
          <reference field="4" count="1" selected="0">
            <x v="3"/>
          </reference>
          <reference field="5" count="1">
            <x v="124"/>
          </reference>
          <reference field="19" count="1" selected="0">
            <x v="122"/>
          </reference>
        </references>
      </pivotArea>
    </format>
    <format dxfId="656">
      <pivotArea dataOnly="0" labelOnly="1" outline="0" fieldPosition="0">
        <references count="3">
          <reference field="4" count="1" selected="0">
            <x v="3"/>
          </reference>
          <reference field="5" count="1">
            <x v="129"/>
          </reference>
          <reference field="19" count="1" selected="0">
            <x v="127"/>
          </reference>
        </references>
      </pivotArea>
    </format>
    <format dxfId="655">
      <pivotArea dataOnly="0" labelOnly="1" outline="0" fieldPosition="0">
        <references count="3">
          <reference field="4" count="1" selected="0">
            <x v="3"/>
          </reference>
          <reference field="5" count="1">
            <x v="133"/>
          </reference>
          <reference field="19" count="1" selected="0">
            <x v="128"/>
          </reference>
        </references>
      </pivotArea>
    </format>
    <format dxfId="654">
      <pivotArea dataOnly="0" labelOnly="1" outline="0" fieldPosition="0">
        <references count="3">
          <reference field="4" count="1" selected="0">
            <x v="4"/>
          </reference>
          <reference field="5" count="1">
            <x v="49"/>
          </reference>
          <reference field="19" count="1" selected="0">
            <x v="48"/>
          </reference>
        </references>
      </pivotArea>
    </format>
    <format dxfId="653">
      <pivotArea dataOnly="0" labelOnly="1" outline="0" fieldPosition="0">
        <references count="3">
          <reference field="4" count="1" selected="0">
            <x v="4"/>
          </reference>
          <reference field="5" count="1">
            <x v="25"/>
          </reference>
          <reference field="19" count="1" selected="0">
            <x v="74"/>
          </reference>
        </references>
      </pivotArea>
    </format>
    <format dxfId="652">
      <pivotArea dataOnly="0" labelOnly="1" outline="0" fieldPosition="0">
        <references count="3">
          <reference field="4" count="1" selected="0">
            <x v="4"/>
          </reference>
          <reference field="5" count="1">
            <x v="45"/>
          </reference>
          <reference field="19" count="1" selected="0">
            <x v="76"/>
          </reference>
        </references>
      </pivotArea>
    </format>
    <format dxfId="651">
      <pivotArea dataOnly="0" labelOnly="1" outline="0" fieldPosition="0">
        <references count="3">
          <reference field="4" count="1" selected="0">
            <x v="4"/>
          </reference>
          <reference field="5" count="1">
            <x v="44"/>
          </reference>
          <reference field="19" count="1" selected="0">
            <x v="77"/>
          </reference>
        </references>
      </pivotArea>
    </format>
    <format dxfId="650">
      <pivotArea dataOnly="0" labelOnly="1" outline="0" fieldPosition="0">
        <references count="3">
          <reference field="4" count="1" selected="0">
            <x v="4"/>
          </reference>
          <reference field="5" count="1">
            <x v="34"/>
          </reference>
          <reference field="19" count="1" selected="0">
            <x v="78"/>
          </reference>
        </references>
      </pivotArea>
    </format>
    <format dxfId="649">
      <pivotArea dataOnly="0" labelOnly="1" outline="0" fieldPosition="0">
        <references count="3">
          <reference field="4" count="1" selected="0">
            <x v="4"/>
          </reference>
          <reference field="5" count="1">
            <x v="107"/>
          </reference>
          <reference field="19" count="1" selected="0">
            <x v="106"/>
          </reference>
        </references>
      </pivotArea>
    </format>
    <format dxfId="648">
      <pivotArea dataOnly="0" labelOnly="1" outline="0" fieldPosition="0">
        <references count="3">
          <reference field="4" count="1" selected="0">
            <x v="4"/>
          </reference>
          <reference field="5" count="1">
            <x v="109"/>
          </reference>
          <reference field="19" count="1" selected="0">
            <x v="108"/>
          </reference>
        </references>
      </pivotArea>
    </format>
    <format dxfId="647">
      <pivotArea dataOnly="0" labelOnly="1" outline="0" fieldPosition="0">
        <references count="3">
          <reference field="4" count="1" selected="0">
            <x v="4"/>
          </reference>
          <reference field="5" count="1">
            <x v="118"/>
          </reference>
          <reference field="19" count="1" selected="0">
            <x v="116"/>
          </reference>
        </references>
      </pivotArea>
    </format>
    <format dxfId="646">
      <pivotArea dataOnly="0" labelOnly="1" outline="0" fieldPosition="0">
        <references count="3">
          <reference field="4" count="1" selected="0">
            <x v="4"/>
          </reference>
          <reference field="5" count="1">
            <x v="120"/>
          </reference>
          <reference field="19" count="1" selected="0">
            <x v="118"/>
          </reference>
        </references>
      </pivotArea>
    </format>
    <format dxfId="645">
      <pivotArea dataOnly="0" labelOnly="1" outline="0" fieldPosition="0">
        <references count="3">
          <reference field="4" count="1" selected="0">
            <x v="5"/>
          </reference>
          <reference field="5" count="1">
            <x v="47"/>
          </reference>
          <reference field="19" count="1" selected="0">
            <x v="101"/>
          </reference>
        </references>
      </pivotArea>
    </format>
    <format dxfId="644">
      <pivotArea dataOnly="0" labelOnly="1" outline="0" fieldPosition="0">
        <references count="3">
          <reference field="4" count="1" selected="0">
            <x v="5"/>
          </reference>
          <reference field="5" count="1">
            <x v="14"/>
          </reference>
          <reference field="19" count="1" selected="0">
            <x v="102"/>
          </reference>
        </references>
      </pivotArea>
    </format>
    <format dxfId="643">
      <pivotArea dataOnly="0" labelOnly="1" outline="0" fieldPosition="0">
        <references count="3">
          <reference field="4" count="1" selected="0">
            <x v="5"/>
          </reference>
          <reference field="5" count="1">
            <x v="134"/>
          </reference>
          <reference field="19" count="1" selected="0">
            <x v="132"/>
          </reference>
        </references>
      </pivotArea>
    </format>
    <format dxfId="642">
      <pivotArea dataOnly="0" labelOnly="1" outline="0" fieldPosition="0">
        <references count="3">
          <reference field="4" count="1" selected="0">
            <x v="6"/>
          </reference>
          <reference field="5" count="1">
            <x v="48"/>
          </reference>
          <reference field="19" count="1" selected="0">
            <x v="56"/>
          </reference>
        </references>
      </pivotArea>
    </format>
    <format dxfId="641">
      <pivotArea dataOnly="0" labelOnly="1" outline="0" fieldPosition="0">
        <references count="3">
          <reference field="4" count="1" selected="0">
            <x v="6"/>
          </reference>
          <reference field="5" count="1">
            <x v="23"/>
          </reference>
          <reference field="19" count="1" selected="0">
            <x v="57"/>
          </reference>
        </references>
      </pivotArea>
    </format>
    <format dxfId="640">
      <pivotArea dataOnly="0" labelOnly="1" outline="0" fieldPosition="0">
        <references count="3">
          <reference field="4" count="1" selected="0">
            <x v="6"/>
          </reference>
          <reference field="5" count="1">
            <x v="67"/>
          </reference>
          <reference field="19" count="1" selected="0">
            <x v="58"/>
          </reference>
        </references>
      </pivotArea>
    </format>
    <format dxfId="639">
      <pivotArea dataOnly="0" labelOnly="1" outline="0" fieldPosition="0">
        <references count="3">
          <reference field="4" count="1" selected="0">
            <x v="7"/>
          </reference>
          <reference field="5" count="1">
            <x v="92"/>
          </reference>
          <reference field="19" count="1" selected="0">
            <x v="59"/>
          </reference>
        </references>
      </pivotArea>
    </format>
    <format dxfId="638">
      <pivotArea dataOnly="0" labelOnly="1" outline="0" fieldPosition="0">
        <references count="3">
          <reference field="4" count="1" selected="0">
            <x v="7"/>
          </reference>
          <reference field="5" count="1">
            <x v="68"/>
          </reference>
          <reference field="19" count="1" selected="0">
            <x v="79"/>
          </reference>
        </references>
      </pivotArea>
    </format>
    <format dxfId="637">
      <pivotArea dataOnly="0" labelOnly="1" outline="0" fieldPosition="0">
        <references count="3">
          <reference field="4" count="1" selected="0">
            <x v="8"/>
          </reference>
          <reference field="5" count="1">
            <x v="54"/>
          </reference>
          <reference field="19" count="1" selected="0">
            <x v="43"/>
          </reference>
        </references>
      </pivotArea>
    </format>
    <format dxfId="636">
      <pivotArea dataOnly="0" labelOnly="1" outline="0" fieldPosition="0">
        <references count="3">
          <reference field="4" count="1" selected="0">
            <x v="8"/>
          </reference>
          <reference field="5" count="1">
            <x v="46"/>
          </reference>
          <reference field="19" count="1" selected="0">
            <x v="45"/>
          </reference>
        </references>
      </pivotArea>
    </format>
    <format dxfId="635">
      <pivotArea dataOnly="0" labelOnly="1" outline="0" fieldPosition="0">
        <references count="3">
          <reference field="4" count="1" selected="0">
            <x v="8"/>
          </reference>
          <reference field="5" count="1">
            <x v="71"/>
          </reference>
          <reference field="19" count="1" selected="0">
            <x v="46"/>
          </reference>
        </references>
      </pivotArea>
    </format>
    <format dxfId="634">
      <pivotArea dataOnly="0" labelOnly="1" outline="0" fieldPosition="0">
        <references count="3">
          <reference field="4" count="1" selected="0">
            <x v="8"/>
          </reference>
          <reference field="5" count="1">
            <x v="42"/>
          </reference>
          <reference field="19" count="1" selected="0">
            <x v="47"/>
          </reference>
        </references>
      </pivotArea>
    </format>
    <format dxfId="633">
      <pivotArea dataOnly="0" labelOnly="1" outline="0" fieldPosition="0">
        <references count="3">
          <reference field="4" count="1" selected="0">
            <x v="8"/>
          </reference>
          <reference field="5" count="1">
            <x v="32"/>
          </reference>
          <reference field="19" count="1" selected="0">
            <x v="51"/>
          </reference>
        </references>
      </pivotArea>
    </format>
    <format dxfId="632">
      <pivotArea dataOnly="0" labelOnly="1" outline="0" fieldPosition="0">
        <references count="3">
          <reference field="4" count="1" selected="0">
            <x v="8"/>
          </reference>
          <reference field="5" count="1">
            <x v="33"/>
          </reference>
          <reference field="19" count="1" selected="0">
            <x v="52"/>
          </reference>
        </references>
      </pivotArea>
    </format>
    <format dxfId="631">
      <pivotArea dataOnly="0" labelOnly="1" outline="0" fieldPosition="0">
        <references count="3">
          <reference field="4" count="1" selected="0">
            <x v="8"/>
          </reference>
          <reference field="5" count="1">
            <x v="31"/>
          </reference>
          <reference field="19" count="1" selected="0">
            <x v="53"/>
          </reference>
        </references>
      </pivotArea>
    </format>
    <format dxfId="630">
      <pivotArea dataOnly="0" labelOnly="1" outline="0" fieldPosition="0">
        <references count="3">
          <reference field="4" count="1" selected="0">
            <x v="8"/>
          </reference>
          <reference field="5" count="1">
            <x v="73"/>
          </reference>
          <reference field="19" count="1" selected="0">
            <x v="54"/>
          </reference>
        </references>
      </pivotArea>
    </format>
    <format dxfId="629">
      <pivotArea dataOnly="0" labelOnly="1" outline="0" fieldPosition="0">
        <references count="3">
          <reference field="4" count="1" selected="0">
            <x v="8"/>
          </reference>
          <reference field="5" count="1">
            <x v="86"/>
          </reference>
          <reference field="19" count="1" selected="0">
            <x v="55"/>
          </reference>
        </references>
      </pivotArea>
    </format>
    <format dxfId="628">
      <pivotArea dataOnly="0" labelOnly="1" outline="0" fieldPosition="0">
        <references count="3">
          <reference field="4" count="1" selected="0">
            <x v="8"/>
          </reference>
          <reference field="5" count="1">
            <x v="19"/>
          </reference>
          <reference field="19" count="1" selected="0">
            <x v="70"/>
          </reference>
        </references>
      </pivotArea>
    </format>
    <format dxfId="627">
      <pivotArea dataOnly="0" labelOnly="1" outline="0" fieldPosition="0">
        <references count="3">
          <reference field="4" count="1" selected="0">
            <x v="8"/>
          </reference>
          <reference field="5" count="1">
            <x v="15"/>
          </reference>
          <reference field="19" count="1" selected="0">
            <x v="71"/>
          </reference>
        </references>
      </pivotArea>
    </format>
    <format dxfId="626">
      <pivotArea dataOnly="0" labelOnly="1" outline="0" fieldPosition="0">
        <references count="3">
          <reference field="4" count="1" selected="0">
            <x v="8"/>
          </reference>
          <reference field="5" count="1">
            <x v="10"/>
          </reference>
          <reference field="19" count="1" selected="0">
            <x v="72"/>
          </reference>
        </references>
      </pivotArea>
    </format>
    <format dxfId="625">
      <pivotArea dataOnly="0" labelOnly="1" outline="0" fieldPosition="0">
        <references count="3">
          <reference field="4" count="1" selected="0">
            <x v="8"/>
          </reference>
          <reference field="5" count="1">
            <x v="75"/>
          </reference>
          <reference field="19" count="1" selected="0">
            <x v="73"/>
          </reference>
        </references>
      </pivotArea>
    </format>
    <format dxfId="624">
      <pivotArea dataOnly="0" labelOnly="1" outline="0" fieldPosition="0">
        <references count="3">
          <reference field="4" count="1" selected="0">
            <x v="8"/>
          </reference>
          <reference field="5" count="1">
            <x v="70"/>
          </reference>
          <reference field="19" count="1" selected="0">
            <x v="75"/>
          </reference>
        </references>
      </pivotArea>
    </format>
    <format dxfId="623">
      <pivotArea dataOnly="0" labelOnly="1" outline="0" fieldPosition="0">
        <references count="3">
          <reference field="4" count="1" selected="0">
            <x v="8"/>
          </reference>
          <reference field="5" count="1">
            <x v="112"/>
          </reference>
          <reference field="19" count="1" selected="0">
            <x v="111"/>
          </reference>
        </references>
      </pivotArea>
    </format>
    <format dxfId="622">
      <pivotArea dataOnly="0" labelOnly="1" outline="0" fieldPosition="0">
        <references count="3">
          <reference field="4" count="1" selected="0">
            <x v="9"/>
          </reference>
          <reference field="5" count="1">
            <x v="56"/>
          </reference>
          <reference field="19" count="1" selected="0">
            <x v="99"/>
          </reference>
        </references>
      </pivotArea>
    </format>
    <format dxfId="621">
      <pivotArea dataOnly="0" labelOnly="1" outline="0" fieldPosition="0">
        <references count="3">
          <reference field="4" count="1" selected="0">
            <x v="9"/>
          </reference>
          <reference field="5" count="1">
            <x v="125"/>
          </reference>
          <reference field="19" count="1" selected="0">
            <x v="123"/>
          </reference>
        </references>
      </pivotArea>
    </format>
    <format dxfId="620">
      <pivotArea dataOnly="0" labelOnly="1" outline="0" fieldPosition="0">
        <references count="3">
          <reference field="4" count="1" selected="0">
            <x v="9"/>
          </reference>
          <reference field="5" count="1">
            <x v="126"/>
          </reference>
          <reference field="19" count="1" selected="0">
            <x v="124"/>
          </reference>
        </references>
      </pivotArea>
    </format>
    <format dxfId="619">
      <pivotArea dataOnly="0" labelOnly="1" outline="0" fieldPosition="0">
        <references count="3">
          <reference field="4" count="1" selected="0">
            <x v="10"/>
          </reference>
          <reference field="5" count="2">
            <x v="84"/>
            <x v="116"/>
          </reference>
          <reference field="19" count="1" selected="0">
            <x v="0"/>
          </reference>
        </references>
      </pivotArea>
    </format>
    <format dxfId="618">
      <pivotArea dataOnly="0" labelOnly="1" outline="0" fieldPosition="0">
        <references count="3">
          <reference field="4" count="1" selected="0">
            <x v="10"/>
          </reference>
          <reference field="5" count="1">
            <x v="94"/>
          </reference>
          <reference field="19" count="1" selected="0">
            <x v="1"/>
          </reference>
        </references>
      </pivotArea>
    </format>
    <format dxfId="617">
      <pivotArea dataOnly="0" labelOnly="1" outline="0" fieldPosition="0">
        <references count="3">
          <reference field="4" count="1" selected="0">
            <x v="10"/>
          </reference>
          <reference field="5" count="1">
            <x v="72"/>
          </reference>
          <reference field="19" count="1" selected="0">
            <x v="2"/>
          </reference>
        </references>
      </pivotArea>
    </format>
    <format dxfId="616">
      <pivotArea dataOnly="0" labelOnly="1" outline="0" fieldPosition="0">
        <references count="3">
          <reference field="4" count="1" selected="0">
            <x v="10"/>
          </reference>
          <reference field="5" count="1">
            <x v="96"/>
          </reference>
          <reference field="19" count="1" selected="0">
            <x v="3"/>
          </reference>
        </references>
      </pivotArea>
    </format>
    <format dxfId="615">
      <pivotArea dataOnly="0" labelOnly="1" outline="0" fieldPosition="0">
        <references count="3">
          <reference field="4" count="1" selected="0">
            <x v="10"/>
          </reference>
          <reference field="5" count="1">
            <x v="95"/>
          </reference>
          <reference field="19" count="1" selected="0">
            <x v="4"/>
          </reference>
        </references>
      </pivotArea>
    </format>
    <format dxfId="614">
      <pivotArea dataOnly="0" labelOnly="1" outline="0" fieldPosition="0">
        <references count="3">
          <reference field="4" count="1" selected="0">
            <x v="10"/>
          </reference>
          <reference field="5" count="1">
            <x v="97"/>
          </reference>
          <reference field="19" count="1" selected="0">
            <x v="5"/>
          </reference>
        </references>
      </pivotArea>
    </format>
    <format dxfId="613">
      <pivotArea dataOnly="0" labelOnly="1" outline="0" fieldPosition="0">
        <references count="3">
          <reference field="4" count="1" selected="0">
            <x v="10"/>
          </reference>
          <reference field="5" count="1">
            <x v="87"/>
          </reference>
          <reference field="19" count="1" selected="0">
            <x v="6"/>
          </reference>
        </references>
      </pivotArea>
    </format>
    <format dxfId="612">
      <pivotArea dataOnly="0" labelOnly="1" outline="0" fieldPosition="0">
        <references count="3">
          <reference field="4" count="1" selected="0">
            <x v="10"/>
          </reference>
          <reference field="5" count="1">
            <x v="43"/>
          </reference>
          <reference field="19" count="1" selected="0">
            <x v="7"/>
          </reference>
        </references>
      </pivotArea>
    </format>
    <format dxfId="611">
      <pivotArea dataOnly="0" labelOnly="1" outline="0" fieldPosition="0">
        <references count="3">
          <reference field="4" count="1" selected="0">
            <x v="10"/>
          </reference>
          <reference field="5" count="1">
            <x v="91"/>
          </reference>
          <reference field="19" count="1" selected="0">
            <x v="8"/>
          </reference>
        </references>
      </pivotArea>
    </format>
    <format dxfId="610">
      <pivotArea dataOnly="0" labelOnly="1" outline="0" fieldPosition="0">
        <references count="3">
          <reference field="4" count="1" selected="0">
            <x v="10"/>
          </reference>
          <reference field="5" count="1">
            <x v="9"/>
          </reference>
          <reference field="19" count="1" selected="0">
            <x v="9"/>
          </reference>
        </references>
      </pivotArea>
    </format>
    <format dxfId="609">
      <pivotArea dataOnly="0" labelOnly="1" outline="0" fieldPosition="0">
        <references count="3">
          <reference field="4" count="1" selected="0">
            <x v="10"/>
          </reference>
          <reference field="5" count="1">
            <x v="8"/>
          </reference>
          <reference field="19" count="1" selected="0">
            <x v="10"/>
          </reference>
        </references>
      </pivotArea>
    </format>
    <format dxfId="608">
      <pivotArea dataOnly="0" labelOnly="1" outline="0" fieldPosition="0">
        <references count="3">
          <reference field="4" count="1" selected="0">
            <x v="10"/>
          </reference>
          <reference field="5" count="1">
            <x v="22"/>
          </reference>
          <reference field="19" count="1" selected="0">
            <x v="11"/>
          </reference>
        </references>
      </pivotArea>
    </format>
    <format dxfId="607">
      <pivotArea dataOnly="0" labelOnly="1" outline="0" fieldPosition="0">
        <references count="3">
          <reference field="4" count="1" selected="0">
            <x v="10"/>
          </reference>
          <reference field="5" count="1">
            <x v="27"/>
          </reference>
          <reference field="19" count="1" selected="0">
            <x v="12"/>
          </reference>
        </references>
      </pivotArea>
    </format>
    <format dxfId="606">
      <pivotArea dataOnly="0" labelOnly="1" outline="0" fieldPosition="0">
        <references count="3">
          <reference field="4" count="1" selected="0">
            <x v="10"/>
          </reference>
          <reference field="5" count="1">
            <x v="26"/>
          </reference>
          <reference field="19" count="1" selected="0">
            <x v="13"/>
          </reference>
        </references>
      </pivotArea>
    </format>
    <format dxfId="605">
      <pivotArea dataOnly="0" labelOnly="1" outline="0" fieldPosition="0">
        <references count="3">
          <reference field="4" count="1" selected="0">
            <x v="10"/>
          </reference>
          <reference field="5" count="1">
            <x v="41"/>
          </reference>
          <reference field="19" count="1" selected="0">
            <x v="14"/>
          </reference>
        </references>
      </pivotArea>
    </format>
    <format dxfId="604">
      <pivotArea dataOnly="0" labelOnly="1" outline="0" fieldPosition="0">
        <references count="3">
          <reference field="4" count="1" selected="0">
            <x v="10"/>
          </reference>
          <reference field="5" count="1">
            <x v="17"/>
          </reference>
          <reference field="19" count="1" selected="0">
            <x v="15"/>
          </reference>
        </references>
      </pivotArea>
    </format>
    <format dxfId="603">
      <pivotArea dataOnly="0" labelOnly="1" outline="0" fieldPosition="0">
        <references count="3">
          <reference field="4" count="1" selected="0">
            <x v="10"/>
          </reference>
          <reference field="5" count="1">
            <x v="18"/>
          </reference>
          <reference field="19" count="1" selected="0">
            <x v="16"/>
          </reference>
        </references>
      </pivotArea>
    </format>
    <format dxfId="602">
      <pivotArea dataOnly="0" labelOnly="1" outline="0" fieldPosition="0">
        <references count="3">
          <reference field="4" count="1" selected="0">
            <x v="10"/>
          </reference>
          <reference field="5" count="1">
            <x v="51"/>
          </reference>
          <reference field="19" count="1" selected="0">
            <x v="17"/>
          </reference>
        </references>
      </pivotArea>
    </format>
    <format dxfId="601">
      <pivotArea dataOnly="0" labelOnly="1" outline="0" fieldPosition="0">
        <references count="3">
          <reference field="4" count="1" selected="0">
            <x v="10"/>
          </reference>
          <reference field="5" count="1">
            <x v="52"/>
          </reference>
          <reference field="19" count="1" selected="0">
            <x v="18"/>
          </reference>
        </references>
      </pivotArea>
    </format>
    <format dxfId="600">
      <pivotArea dataOnly="0" labelOnly="1" outline="0" fieldPosition="0">
        <references count="3">
          <reference field="4" count="1" selected="0">
            <x v="10"/>
          </reference>
          <reference field="5" count="1">
            <x v="104"/>
          </reference>
          <reference field="19" count="1" selected="0">
            <x v="19"/>
          </reference>
        </references>
      </pivotArea>
    </format>
    <format dxfId="599">
      <pivotArea dataOnly="0" labelOnly="1" outline="0" fieldPosition="0">
        <references count="3">
          <reference field="4" count="1" selected="0">
            <x v="10"/>
          </reference>
          <reference field="5" count="1">
            <x v="64"/>
          </reference>
          <reference field="19" count="1" selected="0">
            <x v="20"/>
          </reference>
        </references>
      </pivotArea>
    </format>
    <format dxfId="598">
      <pivotArea dataOnly="0" labelOnly="1" outline="0" fieldPosition="0">
        <references count="3">
          <reference field="4" count="1" selected="0">
            <x v="10"/>
          </reference>
          <reference field="5" count="1">
            <x v="74"/>
          </reference>
          <reference field="19" count="1" selected="0">
            <x v="81"/>
          </reference>
        </references>
      </pivotArea>
    </format>
    <format dxfId="597">
      <pivotArea dataOnly="0" labelOnly="1" outline="0" fieldPosition="0">
        <references count="3">
          <reference field="4" count="1" selected="0">
            <x v="10"/>
          </reference>
          <reference field="5" count="1">
            <x v="131"/>
          </reference>
          <reference field="19" count="1" selected="0">
            <x v="130"/>
          </reference>
        </references>
      </pivotArea>
    </format>
    <format dxfId="596">
      <pivotArea dataOnly="0" labelOnly="1" outline="0" fieldPosition="0">
        <references count="3">
          <reference field="4" count="1" selected="0">
            <x v="11"/>
          </reference>
          <reference field="5" count="1">
            <x v="59"/>
          </reference>
          <reference field="19" count="1" selected="0">
            <x v="97"/>
          </reference>
        </references>
      </pivotArea>
    </format>
    <format dxfId="595">
      <pivotArea dataOnly="0" labelOnly="1" outline="0" fieldPosition="0">
        <references count="3">
          <reference field="4" count="1" selected="0">
            <x v="11"/>
          </reference>
          <reference field="5" count="1">
            <x v="58"/>
          </reference>
          <reference field="19" count="1" selected="0">
            <x v="98"/>
          </reference>
        </references>
      </pivotArea>
    </format>
    <format dxfId="594">
      <pivotArea dataOnly="0" labelOnly="1" outline="0" fieldPosition="0">
        <references count="3">
          <reference field="4" count="1" selected="0">
            <x v="11"/>
          </reference>
          <reference field="5" count="1">
            <x v="127"/>
          </reference>
          <reference field="19" count="1" selected="0">
            <x v="125"/>
          </reference>
        </references>
      </pivotArea>
    </format>
    <format dxfId="593">
      <pivotArea dataOnly="0" labelOnly="1" outline="0" fieldPosition="0">
        <references count="3">
          <reference field="4" count="1" selected="0">
            <x v="11"/>
          </reference>
          <reference field="5" count="1">
            <x v="128"/>
          </reference>
          <reference field="19" count="1" selected="0">
            <x v="126"/>
          </reference>
        </references>
      </pivotArea>
    </format>
    <format dxfId="592">
      <pivotArea dataOnly="0" labelOnly="1" outline="0" fieldPosition="0">
        <references count="3">
          <reference field="4" count="1" selected="0">
            <x v="12"/>
          </reference>
          <reference field="5" count="1">
            <x v="63"/>
          </reference>
          <reference field="19" count="1" selected="0">
            <x v="103"/>
          </reference>
        </references>
      </pivotArea>
    </format>
    <format dxfId="591">
      <pivotArea dataOnly="0" labelOnly="1" outline="0" fieldPosition="0">
        <references count="3">
          <reference field="4" count="1" selected="0">
            <x v="13"/>
          </reference>
          <reference field="5" count="1">
            <x v="89"/>
          </reference>
          <reference field="19" count="1" selected="0">
            <x v="49"/>
          </reference>
        </references>
      </pivotArea>
    </format>
    <format dxfId="590">
      <pivotArea dataOnly="0" labelOnly="1" outline="0" fieldPosition="0">
        <references count="3">
          <reference field="4" count="1" selected="0">
            <x v="13"/>
          </reference>
          <reference field="5" count="1">
            <x v="90"/>
          </reference>
          <reference field="19" count="1" selected="0">
            <x v="50"/>
          </reference>
        </references>
      </pivotArea>
    </format>
    <format dxfId="589">
      <pivotArea dataOnly="0" labelOnly="1" outline="0" fieldPosition="0">
        <references count="3">
          <reference field="4" count="1" selected="0">
            <x v="14"/>
          </reference>
          <reference field="5" count="1">
            <x v="79"/>
          </reference>
          <reference field="19" count="1" selected="0">
            <x v="21"/>
          </reference>
        </references>
      </pivotArea>
    </format>
    <format dxfId="588">
      <pivotArea dataOnly="0" labelOnly="1" outline="0" fieldPosition="0">
        <references count="3">
          <reference field="4" count="1" selected="0">
            <x v="14"/>
          </reference>
          <reference field="5" count="1">
            <x v="81"/>
          </reference>
          <reference field="19" count="1" selected="0">
            <x v="22"/>
          </reference>
        </references>
      </pivotArea>
    </format>
    <format dxfId="587">
      <pivotArea dataOnly="0" labelOnly="1" outline="0" fieldPosition="0">
        <references count="3">
          <reference field="4" count="1" selected="0">
            <x v="14"/>
          </reference>
          <reference field="5" count="1">
            <x v="35"/>
          </reference>
          <reference field="19" count="1" selected="0">
            <x v="23"/>
          </reference>
        </references>
      </pivotArea>
    </format>
    <format dxfId="586">
      <pivotArea dataOnly="0" labelOnly="1" outline="0" fieldPosition="0">
        <references count="3">
          <reference field="4" count="1" selected="0">
            <x v="14"/>
          </reference>
          <reference field="5" count="1">
            <x v="11"/>
          </reference>
          <reference field="19" count="1" selected="0">
            <x v="24"/>
          </reference>
        </references>
      </pivotArea>
    </format>
    <format dxfId="585">
      <pivotArea dataOnly="0" labelOnly="1" outline="0" fieldPosition="0">
        <references count="3">
          <reference field="4" count="1" selected="0">
            <x v="14"/>
          </reference>
          <reference field="5" count="1">
            <x v="38"/>
          </reference>
          <reference field="19" count="1" selected="0">
            <x v="25"/>
          </reference>
        </references>
      </pivotArea>
    </format>
    <format dxfId="584">
      <pivotArea dataOnly="0" labelOnly="1" outline="0" fieldPosition="0">
        <references count="3">
          <reference field="4" count="1" selected="0">
            <x v="14"/>
          </reference>
          <reference field="5" count="1">
            <x v="80"/>
          </reference>
          <reference field="19" count="1" selected="0">
            <x v="26"/>
          </reference>
        </references>
      </pivotArea>
    </format>
    <format dxfId="583">
      <pivotArea dataOnly="0" labelOnly="1" outline="0" fieldPosition="0">
        <references count="3">
          <reference field="4" count="1" selected="0">
            <x v="14"/>
          </reference>
          <reference field="5" count="1">
            <x v="37"/>
          </reference>
          <reference field="19" count="1" selected="0">
            <x v="27"/>
          </reference>
        </references>
      </pivotArea>
    </format>
    <format dxfId="582">
      <pivotArea dataOnly="0" labelOnly="1" outline="0" fieldPosition="0">
        <references count="3">
          <reference field="4" count="1" selected="0">
            <x v="14"/>
          </reference>
          <reference field="5" count="1">
            <x v="78"/>
          </reference>
          <reference field="19" count="1" selected="0">
            <x v="28"/>
          </reference>
        </references>
      </pivotArea>
    </format>
    <format dxfId="581">
      <pivotArea dataOnly="0" labelOnly="1" outline="0" fieldPosition="0">
        <references count="3">
          <reference field="4" count="1" selected="0">
            <x v="14"/>
          </reference>
          <reference field="5" count="1">
            <x v="100"/>
          </reference>
          <reference field="19" count="1" selected="0">
            <x v="29"/>
          </reference>
        </references>
      </pivotArea>
    </format>
    <format dxfId="580">
      <pivotArea dataOnly="0" labelOnly="1" outline="0" fieldPosition="0">
        <references count="3">
          <reference field="4" count="1" selected="0">
            <x v="14"/>
          </reference>
          <reference field="5" count="1">
            <x v="98"/>
          </reference>
          <reference field="19" count="1" selected="0">
            <x v="30"/>
          </reference>
        </references>
      </pivotArea>
    </format>
    <format dxfId="579">
      <pivotArea dataOnly="0" labelOnly="1" outline="0" fieldPosition="0">
        <references count="3">
          <reference field="4" count="1" selected="0">
            <x v="14"/>
          </reference>
          <reference field="5" count="1">
            <x v="99"/>
          </reference>
          <reference field="19" count="1" selected="0">
            <x v="31"/>
          </reference>
        </references>
      </pivotArea>
    </format>
    <format dxfId="578">
      <pivotArea dataOnly="0" labelOnly="1" outline="0" fieldPosition="0">
        <references count="3">
          <reference field="4" count="1" selected="0">
            <x v="14"/>
          </reference>
          <reference field="5" count="1">
            <x v="40"/>
          </reference>
          <reference field="19" count="1" selected="0">
            <x v="32"/>
          </reference>
        </references>
      </pivotArea>
    </format>
    <format dxfId="577">
      <pivotArea dataOnly="0" labelOnly="1" outline="0" fieldPosition="0">
        <references count="3">
          <reference field="4" count="1" selected="0">
            <x v="14"/>
          </reference>
          <reference field="5" count="1">
            <x v="39"/>
          </reference>
          <reference field="19" count="1" selected="0">
            <x v="33"/>
          </reference>
        </references>
      </pivotArea>
    </format>
    <format dxfId="576">
      <pivotArea dataOnly="0" labelOnly="1" outline="0" fieldPosition="0">
        <references count="3">
          <reference field="4" count="1" selected="0">
            <x v="14"/>
          </reference>
          <reference field="5" count="1">
            <x v="88"/>
          </reference>
          <reference field="19" count="1" selected="0">
            <x v="34"/>
          </reference>
        </references>
      </pivotArea>
    </format>
    <format dxfId="575">
      <pivotArea dataOnly="0" labelOnly="1" outline="0" fieldPosition="0">
        <references count="3">
          <reference field="4" count="1" selected="0">
            <x v="14"/>
          </reference>
          <reference field="5" count="1">
            <x v="4"/>
          </reference>
          <reference field="19" count="1" selected="0">
            <x v="66"/>
          </reference>
        </references>
      </pivotArea>
    </format>
    <format dxfId="574">
      <pivotArea dataOnly="0" labelOnly="1" outline="0" fieldPosition="0">
        <references count="3">
          <reference field="4" count="1" selected="0">
            <x v="14"/>
          </reference>
          <reference field="5" count="1">
            <x v="12"/>
          </reference>
          <reference field="19" count="1" selected="0">
            <x v="67"/>
          </reference>
        </references>
      </pivotArea>
    </format>
    <format dxfId="573">
      <pivotArea dataOnly="0" labelOnly="1" outline="0" fieldPosition="0">
        <references count="3">
          <reference field="4" count="1" selected="0">
            <x v="14"/>
          </reference>
          <reference field="5" count="1">
            <x v="103"/>
          </reference>
          <reference field="19" count="1" selected="0">
            <x v="68"/>
          </reference>
        </references>
      </pivotArea>
    </format>
    <format dxfId="572">
      <pivotArea dataOnly="0" labelOnly="1" outline="0" fieldPosition="0">
        <references count="3">
          <reference field="4" count="1" selected="0">
            <x v="14"/>
          </reference>
          <reference field="5" count="1">
            <x v="36"/>
          </reference>
          <reference field="19" count="1" selected="0">
            <x v="69"/>
          </reference>
        </references>
      </pivotArea>
    </format>
    <format dxfId="571">
      <pivotArea dataOnly="0" labelOnly="1" outline="0" fieldPosition="0">
        <references count="3">
          <reference field="4" count="1" selected="0">
            <x v="14"/>
          </reference>
          <reference field="5" count="1">
            <x v="77"/>
          </reference>
          <reference field="19" count="1" selected="0">
            <x v="80"/>
          </reference>
        </references>
      </pivotArea>
    </format>
    <format dxfId="570">
      <pivotArea dataOnly="0" labelOnly="1" outline="0" fieldPosition="0">
        <references count="3">
          <reference field="4" count="1" selected="0">
            <x v="14"/>
          </reference>
          <reference field="5" count="1">
            <x v="110"/>
          </reference>
          <reference field="19" count="1" selected="0">
            <x v="109"/>
          </reference>
        </references>
      </pivotArea>
    </format>
    <format dxfId="569">
      <pivotArea dataOnly="0" labelOnly="1" outline="0" fieldPosition="0">
        <references count="3">
          <reference field="4" count="1" selected="0">
            <x v="14"/>
          </reference>
          <reference field="5" count="1">
            <x v="130"/>
          </reference>
          <reference field="19" count="1" selected="0">
            <x v="129"/>
          </reference>
        </references>
      </pivotArea>
    </format>
    <format dxfId="568">
      <pivotArea dataOnly="0" labelOnly="1" outline="0" fieldPosition="0">
        <references count="3">
          <reference field="4" count="1" selected="0">
            <x v="14"/>
          </reference>
          <reference field="5" count="1">
            <x v="132"/>
          </reference>
          <reference field="19" count="1" selected="0">
            <x v="131"/>
          </reference>
        </references>
      </pivotArea>
    </format>
    <format dxfId="567">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94" firstHeaderRow="1" firstDataRow="1" firstDataCol="1" rowPageCount="1" colPageCount="1"/>
  <pivotFields count="31">
    <pivotField axis="axisPage" multipleItemSelectionAllowed="1" showAll="0">
      <items count="3">
        <item h="1" x="1"/>
        <item x="0"/>
        <item t="default"/>
      </items>
    </pivotField>
    <pivotField showAll="0"/>
    <pivotField showAll="0"/>
    <pivotField showAll="0"/>
    <pivotField showAll="0"/>
    <pivotField axis="axisRow" showAll="0" sortType="descending">
      <items count="24">
        <item x="3"/>
        <item x="2"/>
        <item x="12"/>
        <item x="20"/>
        <item x="14"/>
        <item x="8"/>
        <item x="15"/>
        <item x="17"/>
        <item x="6"/>
        <item x="18"/>
        <item x="10"/>
        <item x="11"/>
        <item x="4"/>
        <item x="13"/>
        <item x="0"/>
        <item x="5"/>
        <item x="19"/>
        <item x="9"/>
        <item x="7"/>
        <item x="16"/>
        <item x="1"/>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91">
        <item x="145"/>
        <item x="153"/>
        <item x="142"/>
        <item x="47"/>
        <item x="150"/>
        <item x="163"/>
        <item x="147"/>
        <item x="167"/>
        <item x="144"/>
        <item x="88"/>
        <item x="187"/>
        <item x="188"/>
        <item x="185"/>
        <item x="143"/>
        <item x="161"/>
        <item x="146"/>
        <item x="113"/>
        <item x="112"/>
        <item x="125"/>
        <item x="198"/>
        <item x="109"/>
        <item x="84"/>
        <item x="39"/>
        <item x="137"/>
        <item x="148"/>
        <item x="122"/>
        <item x="154"/>
        <item x="160"/>
        <item x="227"/>
        <item x="231"/>
        <item x="43"/>
        <item x="25"/>
        <item x="114"/>
        <item x="135"/>
        <item x="164"/>
        <item x="162"/>
        <item x="140"/>
        <item x="97"/>
        <item x="186"/>
        <item x="201"/>
        <item x="40"/>
        <item x="121"/>
        <item x="49"/>
        <item x="178"/>
        <item x="189"/>
        <item x="199"/>
        <item x="15"/>
        <item x="16"/>
        <item x="120"/>
        <item x="45"/>
        <item x="170"/>
        <item x="171"/>
        <item x="203"/>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95"/>
        <item x="13"/>
        <item x="61"/>
        <item x="7"/>
        <item x="182"/>
        <item x="183"/>
        <item x="62"/>
        <item x="169"/>
        <item x="128"/>
        <item x="202"/>
        <item x="127"/>
        <item x="200"/>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238"/>
        <item x="184"/>
        <item x="151"/>
        <item x="235"/>
        <item x="237"/>
        <item x="48"/>
        <item x="14"/>
        <item x="60"/>
        <item x="131"/>
        <item x="212"/>
        <item x="211"/>
        <item x="239"/>
        <item x="56"/>
        <item x="206"/>
        <item x="54"/>
        <item x="221"/>
        <item x="99"/>
        <item x="218"/>
        <item x="175"/>
        <item x="179"/>
        <item x="132"/>
        <item x="165"/>
        <item x="222"/>
        <item x="226"/>
        <item x="241"/>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197"/>
        <item x="72"/>
        <item x="5"/>
        <item x="6"/>
        <item x="38"/>
        <item x="66"/>
        <item x="67"/>
        <item x="8"/>
        <item x="191"/>
        <item x="78"/>
        <item x="194"/>
        <item x="177"/>
        <item x="52"/>
        <item x="110"/>
        <item x="59"/>
        <item x="0"/>
        <item x="3"/>
        <item x="2"/>
        <item x="4"/>
        <item x="34"/>
        <item x="196"/>
        <item x="100"/>
        <item x="181"/>
        <item x="74"/>
        <item x="35"/>
        <item x="33"/>
        <item x="159"/>
        <item x="158"/>
        <item x="115"/>
        <item x="41"/>
        <item x="149"/>
        <item x="19"/>
        <item x="50"/>
        <item x="105"/>
        <item x="172"/>
        <item x="234"/>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3"/>
        <item x="284"/>
        <item x="285"/>
        <item x="286"/>
        <item x="287"/>
        <item x="244"/>
        <item x="245"/>
        <item x="261"/>
        <item x="289"/>
        <item x="269"/>
        <item x="270"/>
        <item x="271"/>
        <item x="268"/>
        <item x="9"/>
        <item x="274"/>
        <item x="75"/>
        <item x="273"/>
        <item x="275"/>
        <item x="288"/>
        <item x="276"/>
        <item x="248"/>
        <item x="233"/>
        <item x="267"/>
        <item x="277"/>
        <item x="278"/>
        <item x="279"/>
        <item x="280"/>
        <item x="281"/>
        <item x="282"/>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90">
    <i>
      <x v="20"/>
    </i>
    <i r="1">
      <x v="17"/>
    </i>
    <i r="1">
      <x v="31"/>
    </i>
    <i r="1">
      <x v="32"/>
    </i>
    <i r="1">
      <x v="43"/>
    </i>
    <i r="1">
      <x v="75"/>
    </i>
    <i r="1">
      <x v="76"/>
    </i>
    <i r="1">
      <x v="78"/>
    </i>
    <i r="1">
      <x v="79"/>
    </i>
    <i r="1">
      <x v="80"/>
    </i>
    <i r="1">
      <x v="81"/>
    </i>
    <i r="1">
      <x v="157"/>
    </i>
    <i r="1">
      <x v="171"/>
    </i>
    <i r="1">
      <x v="172"/>
    </i>
    <i r="1">
      <x v="173"/>
    </i>
    <i r="1">
      <x v="174"/>
    </i>
    <i r="1">
      <x v="175"/>
    </i>
    <i r="1">
      <x v="185"/>
    </i>
    <i r="1">
      <x v="200"/>
    </i>
    <i r="1">
      <x v="205"/>
    </i>
    <i r="1">
      <x v="209"/>
    </i>
    <i r="1">
      <x v="222"/>
    </i>
    <i r="1">
      <x v="266"/>
    </i>
    <i r="1">
      <x v="267"/>
    </i>
    <i r="1">
      <x v="280"/>
    </i>
    <i>
      <x v="12"/>
    </i>
    <i r="1">
      <x v="25"/>
    </i>
    <i r="1">
      <x v="36"/>
    </i>
    <i r="1">
      <x v="41"/>
    </i>
    <i r="1">
      <x v="48"/>
    </i>
    <i r="1">
      <x v="50"/>
    </i>
    <i r="1">
      <x v="69"/>
    </i>
    <i r="1">
      <x v="70"/>
    </i>
    <i r="1">
      <x v="71"/>
    </i>
    <i r="1">
      <x v="85"/>
    </i>
    <i r="1">
      <x v="118"/>
    </i>
    <i r="1">
      <x v="132"/>
    </i>
    <i r="1">
      <x v="161"/>
    </i>
    <i r="1">
      <x v="164"/>
    </i>
    <i r="1">
      <x v="166"/>
    </i>
    <i r="1">
      <x v="182"/>
    </i>
    <i>
      <x v="8"/>
    </i>
    <i r="1">
      <x v="18"/>
    </i>
    <i r="1">
      <x v="36"/>
    </i>
    <i r="1">
      <x v="60"/>
    </i>
    <i r="1">
      <x v="82"/>
    </i>
    <i r="1">
      <x v="83"/>
    </i>
    <i r="1">
      <x v="91"/>
    </i>
    <i r="1">
      <x v="92"/>
    </i>
    <i r="1">
      <x v="93"/>
    </i>
    <i r="1">
      <x v="94"/>
    </i>
    <i r="1">
      <x v="95"/>
    </i>
    <i r="1">
      <x v="100"/>
    </i>
    <i>
      <x v="14"/>
    </i>
    <i r="1">
      <x v="46"/>
    </i>
    <i r="1">
      <x v="47"/>
    </i>
    <i r="1">
      <x v="55"/>
    </i>
    <i r="1">
      <x v="61"/>
    </i>
    <i r="1">
      <x v="63"/>
    </i>
    <i r="1">
      <x v="64"/>
    </i>
    <i r="1">
      <x v="84"/>
    </i>
    <i r="1">
      <x v="86"/>
    </i>
    <i r="1">
      <x v="109"/>
    </i>
    <i r="1">
      <x v="110"/>
    </i>
    <i r="1">
      <x v="150"/>
    </i>
    <i r="1">
      <x v="163"/>
    </i>
    <i r="1">
      <x v="165"/>
    </i>
    <i r="1">
      <x v="183"/>
    </i>
    <i r="1">
      <x v="184"/>
    </i>
    <i r="1">
      <x v="188"/>
    </i>
    <i r="1">
      <x v="196"/>
    </i>
    <i r="1">
      <x v="197"/>
    </i>
    <i r="1">
      <x v="198"/>
    </i>
    <i r="1">
      <x v="199"/>
    </i>
    <i r="1">
      <x v="223"/>
    </i>
    <i r="1">
      <x v="274"/>
    </i>
    <i r="1">
      <x v="275"/>
    </i>
    <i r="1">
      <x v="288"/>
    </i>
    <i r="1">
      <x v="289"/>
    </i>
    <i>
      <x/>
    </i>
    <i r="1">
      <x v="3"/>
    </i>
    <i r="1">
      <x v="7"/>
    </i>
    <i r="1">
      <x v="36"/>
    </i>
    <i r="1">
      <x v="42"/>
    </i>
    <i r="1">
      <x v="68"/>
    </i>
    <i r="1">
      <x v="130"/>
    </i>
    <i r="1">
      <x v="151"/>
    </i>
    <i r="1">
      <x v="169"/>
    </i>
    <i r="1">
      <x v="177"/>
    </i>
    <i r="1">
      <x v="193"/>
    </i>
    <i r="1">
      <x v="213"/>
    </i>
    <i>
      <x v="6"/>
    </i>
    <i r="1">
      <x v="53"/>
    </i>
    <i r="1">
      <x v="54"/>
    </i>
    <i r="1">
      <x v="124"/>
    </i>
    <i r="1">
      <x v="125"/>
    </i>
    <i r="1">
      <x v="142"/>
    </i>
    <i r="1">
      <x v="216"/>
    </i>
    <i r="1">
      <x v="233"/>
    </i>
    <i r="1">
      <x v="240"/>
    </i>
    <i r="1">
      <x v="263"/>
    </i>
    <i r="1">
      <x v="264"/>
    </i>
    <i r="1">
      <x v="279"/>
    </i>
    <i r="1">
      <x v="281"/>
    </i>
    <i r="1">
      <x v="282"/>
    </i>
    <i r="1">
      <x v="283"/>
    </i>
    <i>
      <x v="2"/>
    </i>
    <i r="1">
      <x v="2"/>
    </i>
    <i r="1">
      <x v="4"/>
    </i>
    <i r="1">
      <x v="5"/>
    </i>
    <i r="1">
      <x v="13"/>
    </i>
    <i r="1">
      <x v="20"/>
    </i>
    <i r="1">
      <x v="24"/>
    </i>
    <i r="1">
      <x v="33"/>
    </i>
    <i r="1">
      <x v="34"/>
    </i>
    <i r="1">
      <x v="39"/>
    </i>
    <i r="1">
      <x v="66"/>
    </i>
    <i r="1">
      <x v="67"/>
    </i>
    <i r="1">
      <x v="115"/>
    </i>
    <i r="1">
      <x v="146"/>
    </i>
    <i r="1">
      <x v="152"/>
    </i>
    <i r="1">
      <x v="176"/>
    </i>
    <i r="1">
      <x v="208"/>
    </i>
    <i r="1">
      <x v="214"/>
    </i>
    <i r="1">
      <x v="242"/>
    </i>
    <i r="1">
      <x v="244"/>
    </i>
    <i r="1">
      <x v="245"/>
    </i>
    <i r="1">
      <x v="268"/>
    </i>
    <i>
      <x v="1"/>
    </i>
    <i r="1">
      <x v="22"/>
    </i>
    <i r="1">
      <x v="40"/>
    </i>
    <i r="1">
      <x v="65"/>
    </i>
    <i r="1">
      <x v="167"/>
    </i>
    <i r="1">
      <x v="181"/>
    </i>
    <i>
      <x v="15"/>
    </i>
    <i r="1">
      <x v="134"/>
    </i>
    <i r="1">
      <x v="135"/>
    </i>
    <i r="1">
      <x v="136"/>
    </i>
    <i r="1">
      <x v="137"/>
    </i>
    <i r="1">
      <x v="149"/>
    </i>
    <i r="1">
      <x v="236"/>
    </i>
    <i>
      <x v="10"/>
    </i>
    <i r="1">
      <x v="56"/>
    </i>
    <i r="1">
      <x v="155"/>
    </i>
    <i r="1">
      <x v="228"/>
    </i>
    <i r="1">
      <x v="276"/>
    </i>
    <i r="1">
      <x v="284"/>
    </i>
    <i r="1">
      <x v="285"/>
    </i>
    <i r="1">
      <x v="286"/>
    </i>
    <i r="1">
      <x v="287"/>
    </i>
    <i>
      <x v="22"/>
    </i>
    <i r="1">
      <x v="270"/>
    </i>
    <i r="1">
      <x v="271"/>
    </i>
    <i r="1">
      <x v="272"/>
    </i>
    <i r="1">
      <x v="273"/>
    </i>
    <i>
      <x v="13"/>
    </i>
    <i r="1">
      <x v="128"/>
    </i>
    <i r="1">
      <x v="129"/>
    </i>
    <i r="1">
      <x v="265"/>
    </i>
    <i>
      <x v="19"/>
    </i>
    <i r="1">
      <x v="192"/>
    </i>
    <i r="1">
      <x v="230"/>
    </i>
    <i r="1">
      <x v="231"/>
    </i>
    <i>
      <x v="16"/>
    </i>
    <i r="1">
      <x v="147"/>
    </i>
    <i r="1">
      <x v="237"/>
    </i>
    <i r="1">
      <x v="250"/>
    </i>
    <i r="1">
      <x v="269"/>
    </i>
    <i>
      <x v="18"/>
    </i>
    <i r="1">
      <x v="186"/>
    </i>
    <i r="1">
      <x v="187"/>
    </i>
    <i>
      <x v="3"/>
    </i>
    <i r="1">
      <x v="154"/>
    </i>
    <i r="1">
      <x v="226"/>
    </i>
    <i>
      <x v="9"/>
    </i>
    <i r="1">
      <x v="98"/>
    </i>
    <i r="1">
      <x v="99"/>
    </i>
    <i r="1">
      <x v="238"/>
    </i>
    <i>
      <x v="17"/>
    </i>
    <i r="1">
      <x v="45"/>
    </i>
    <i r="1">
      <x v="204"/>
    </i>
    <i r="1">
      <x v="225"/>
    </i>
    <i>
      <x v="11"/>
    </i>
    <i r="1">
      <x v="158"/>
    </i>
    <i r="1">
      <x v="190"/>
    </i>
    <i r="1">
      <x v="217"/>
    </i>
    <i r="1">
      <x v="218"/>
    </i>
    <i>
      <x v="21"/>
    </i>
    <i r="1">
      <x v="262"/>
    </i>
    <i t="grand">
      <x/>
    </i>
  </rowItems>
  <colItems count="1">
    <i/>
  </colItems>
  <pageFields count="1">
    <pageField fld="0" hier="-1"/>
  </pageFields>
  <dataFields count="1">
    <dataField name="Sum of HH" fld="16" baseField="5" baseItem="20" numFmtId="165"/>
  </dataFields>
  <formats count="10">
    <format dxfId="887">
      <pivotArea outline="0" collapsedLevelsAreSubtotals="1" fieldPosition="0">
        <references count="1">
          <reference field="4294967294" count="1" selected="0">
            <x v="0"/>
          </reference>
        </references>
      </pivotArea>
    </format>
    <format dxfId="886">
      <pivotArea dataOnly="0" labelOnly="1" fieldPosition="0">
        <references count="1">
          <reference field="11" count="16">
            <x v="3"/>
            <x v="30"/>
            <x v="40"/>
            <x v="48"/>
            <x v="60"/>
            <x v="85"/>
            <x v="92"/>
            <x v="93"/>
            <x v="94"/>
            <x v="118"/>
            <x v="149"/>
            <x v="166"/>
            <x v="171"/>
            <x v="177"/>
            <x v="208"/>
            <x v="209"/>
          </reference>
        </references>
      </pivotArea>
    </format>
    <format dxfId="885">
      <pivotArea type="all" dataOnly="0" outline="0" fieldPosition="0"/>
    </format>
    <format dxfId="884">
      <pivotArea outline="0" collapsedLevelsAreSubtotals="1" fieldPosition="0">
        <references count="1">
          <reference field="4294967294" count="1" selected="0">
            <x v="0"/>
          </reference>
        </references>
      </pivotArea>
    </format>
    <format dxfId="883">
      <pivotArea dataOnly="0" labelOnly="1" outline="0" fieldPosition="0">
        <references count="1">
          <reference field="4294967294" count="1">
            <x v="0"/>
          </reference>
        </references>
      </pivotArea>
    </format>
    <format dxfId="882">
      <pivotArea outline="0" collapsedLevelsAreSubtotals="1" fieldPosition="0">
        <references count="1">
          <reference field="4294967294" count="1" selected="0">
            <x v="0"/>
          </reference>
        </references>
      </pivotArea>
    </format>
    <format dxfId="881">
      <pivotArea field="0" type="button" dataOnly="0" labelOnly="1" outline="0" axis="axisPage" fieldPosition="0"/>
    </format>
    <format dxfId="880">
      <pivotArea dataOnly="0" labelOnly="1" outline="0" fieldPosition="0">
        <references count="1">
          <reference field="0" count="0"/>
        </references>
      </pivotArea>
    </format>
    <format dxfId="879">
      <pivotArea dataOnly="0" labelOnly="1" grandRow="1" outline="0" fieldPosition="0"/>
    </format>
    <format dxfId="87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1"/>
        <item m="1" x="3"/>
        <item m="1" x="2"/>
        <item m="1" x="4"/>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58">
      <pivotArea outline="0" collapsedLevelsAreSubtotals="1" fieldPosition="0"/>
    </format>
    <format dxfId="35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Agency">
  <location ref="AX4:AY12" firstHeaderRow="1" firstDataRow="1" firstDataCol="1" rowPageCount="1" colPageCount="1"/>
  <pivotFields count="46">
    <pivotField axis="axisPage" numFmtId="169" multipleItemSelectionAllowed="1" showAll="0">
      <items count="10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x="66"/>
        <item x="67"/>
        <item x="68"/>
        <item x="69"/>
        <item x="71"/>
        <item x="72"/>
        <item x="70"/>
        <item h="1" x="64"/>
        <item h="1" x="63"/>
        <item h="1" x="62"/>
        <item h="1" x="50"/>
        <item h="1" x="48"/>
        <item x="73"/>
        <item x="74"/>
        <item x="75"/>
        <item x="76"/>
        <item x="77"/>
        <item x="78"/>
        <item x="79"/>
        <item x="80"/>
        <item x="81"/>
        <item x="82"/>
        <item x="83"/>
        <item x="84"/>
        <item x="85"/>
        <item x="86"/>
        <item x="87"/>
        <item x="88"/>
        <item x="89"/>
        <item x="90"/>
        <item x="91"/>
        <item x="92"/>
        <item x="93"/>
        <item x="94"/>
        <item x="95"/>
        <item x="96"/>
        <item h="1" x="97"/>
        <item x="98"/>
        <item x="99"/>
        <item h="1" x="100"/>
        <item t="default"/>
      </items>
    </pivotField>
    <pivotField showAll="0" defaultSubtotal="0"/>
    <pivotField axis="axisRow" dataField="1" showAll="0">
      <items count="18">
        <item x="3"/>
        <item x="4"/>
        <item x="2"/>
        <item x="1"/>
        <item x="0"/>
        <item x="5"/>
        <item x="10"/>
        <item x="7"/>
        <item x="8"/>
        <item x="6"/>
        <item x="9"/>
        <item x="11"/>
        <item x="12"/>
        <item x="13"/>
        <item x="14"/>
        <item x="15"/>
        <item x="16"/>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v="1"/>
    </i>
    <i>
      <x v="2"/>
    </i>
    <i>
      <x v="5"/>
    </i>
    <i>
      <x v="7"/>
    </i>
    <i>
      <x v="11"/>
    </i>
    <i>
      <x v="12"/>
    </i>
    <i>
      <x v="13"/>
    </i>
    <i t="grand">
      <x/>
    </i>
  </rowItems>
  <colItems count="1">
    <i/>
  </colItems>
  <pageFields count="1">
    <pageField fld="0" hier="-1"/>
  </pageFields>
  <dataFields count="1">
    <dataField name="# distributions" fld="2" subtotal="count" baseField="0" baseItem="0"/>
  </dataFields>
  <formats count="19">
    <format dxfId="338">
      <pivotArea outline="0" collapsedLevelsAreSubtotals="1" fieldPosition="0"/>
    </format>
    <format dxfId="337">
      <pivotArea dataOnly="0" labelOnly="1" fieldPosition="0">
        <references count="1">
          <reference field="2" count="3">
            <x v="0"/>
            <x v="1"/>
            <x v="2"/>
          </reference>
        </references>
      </pivotArea>
    </format>
    <format dxfId="336">
      <pivotArea field="0" type="button" dataOnly="0" labelOnly="1" outline="0" axis="axisPage" fieldPosition="0"/>
    </format>
    <format dxfId="335">
      <pivotArea field="2" type="button" dataOnly="0" labelOnly="1" outline="0" axis="axisRow" fieldPosition="0"/>
    </format>
    <format dxfId="334">
      <pivotArea dataOnly="0" labelOnly="1" outline="0" fieldPosition="0">
        <references count="1">
          <reference field="4294967294" count="1">
            <x v="0"/>
          </reference>
        </references>
      </pivotArea>
    </format>
    <format dxfId="333">
      <pivotArea field="2" type="button" dataOnly="0" labelOnly="1" outline="0" axis="axisRow" fieldPosition="0"/>
    </format>
    <format dxfId="332">
      <pivotArea dataOnly="0" labelOnly="1" outline="0" fieldPosition="0">
        <references count="1">
          <reference field="4294967294" count="1">
            <x v="0"/>
          </reference>
        </references>
      </pivotArea>
    </format>
    <format dxfId="331">
      <pivotArea dataOnly="0" labelOnly="1" outline="0" fieldPosition="0">
        <references count="1">
          <reference field="4294967294" count="1">
            <x v="0"/>
          </reference>
        </references>
      </pivotArea>
    </format>
    <format dxfId="330">
      <pivotArea type="all" dataOnly="0" outline="0" fieldPosition="0"/>
    </format>
    <format dxfId="329">
      <pivotArea outline="0" collapsedLevelsAreSubtotals="1" fieldPosition="0"/>
    </format>
    <format dxfId="328">
      <pivotArea dataOnly="0" labelOnly="1" outline="0" fieldPosition="0">
        <references count="1">
          <reference field="4294967294" count="1">
            <x v="0"/>
          </reference>
        </references>
      </pivotArea>
    </format>
    <format dxfId="327">
      <pivotArea field="2" grandRow="1" outline="0" collapsedLevelsAreSubtotals="1" axis="axisRow" fieldPosition="0">
        <references count="1">
          <reference field="4294967294" count="1" selected="0">
            <x v="0"/>
          </reference>
        </references>
      </pivotArea>
    </format>
    <format dxfId="326">
      <pivotArea dataOnly="0" labelOnly="1" grandRow="1" outline="0" fieldPosition="0"/>
    </format>
    <format dxfId="325">
      <pivotArea field="2" type="button" dataOnly="0" labelOnly="1" outline="0" axis="axisRow" fieldPosition="0"/>
    </format>
    <format dxfId="324">
      <pivotArea dataOnly="0" labelOnly="1" fieldPosition="0">
        <references count="1">
          <reference field="2" count="3">
            <x v="0"/>
            <x v="1"/>
            <x v="2"/>
          </reference>
        </references>
      </pivotArea>
    </format>
    <format dxfId="323">
      <pivotArea outline="0" collapsedLevelsAreSubtotals="1" fieldPosition="0"/>
    </format>
    <format dxfId="322">
      <pivotArea dataOnly="0" labelOnly="1" fieldPosition="0">
        <references count="1">
          <reference field="2" count="3">
            <x v="0"/>
            <x v="1"/>
            <x v="2"/>
          </reference>
        </references>
      </pivotArea>
    </format>
    <format dxfId="321">
      <pivotArea grandRow="1" outline="0" collapsedLevelsAreSubtotals="1" fieldPosition="0"/>
    </format>
    <format dxfId="320">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5" cacheId="10"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6">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1">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3"/>
        <item x="2"/>
        <item x="12"/>
        <item x="20"/>
        <item x="22"/>
        <item x="14"/>
        <item x="8"/>
        <item x="15"/>
        <item x="17"/>
        <item x="6"/>
        <item x="18"/>
        <item x="10"/>
        <item x="11"/>
        <item x="4"/>
        <item x="13"/>
        <item x="0"/>
        <item x="5"/>
        <item x="19"/>
        <item x="9"/>
        <item x="7"/>
        <item x="16"/>
        <item x="21"/>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71">
      <pivotArea type="all" dataOnly="0" outline="0" fieldPosition="0"/>
    </format>
    <format dxfId="1170">
      <pivotArea field="1" type="button" dataOnly="0" labelOnly="1" outline="0" axis="axisPage" fieldPosition="0"/>
    </format>
    <format dxfId="1169">
      <pivotArea dataOnly="0" labelOnly="1" outline="0" fieldPosition="0">
        <references count="1">
          <reference field="4294967294" count="1">
            <x v="0"/>
          </reference>
        </references>
      </pivotArea>
    </format>
    <format dxfId="1168">
      <pivotArea grandRow="1" outline="0" collapsedLevelsAreSubtotals="1" fieldPosition="0"/>
    </format>
    <format dxfId="1167">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U18:AV41" firstHeaderRow="1" firstDataRow="1" firstDataCol="1" rowPageCount="1" colPageCount="1"/>
  <pivotFields count="46">
    <pivotField numFmtId="169" showAll="0"/>
    <pivotField axis="axisPage" multipleItemSelectionAllowed="1" showAll="0" defaultSubtotal="0">
      <items count="18">
        <item x="0"/>
        <item x="12"/>
        <item x="9"/>
        <item x="10"/>
        <item x="11"/>
        <item x="1"/>
        <item x="13"/>
        <item x="2"/>
        <item x="14"/>
        <item x="3"/>
        <item x="4"/>
        <item x="5"/>
        <item x="6"/>
        <item x="7"/>
        <item x="8"/>
        <item x="15"/>
        <item x="16"/>
        <item x="17"/>
      </items>
    </pivotField>
    <pivotField showAll="0"/>
    <pivotField showAll="0"/>
    <pivotField showAll="0"/>
    <pivotField axis="axisRow" dataField="1" showAll="0">
      <items count="23">
        <item x="5"/>
        <item x="7"/>
        <item x="6"/>
        <item x="10"/>
        <item x="9"/>
        <item x="2"/>
        <item x="1"/>
        <item x="11"/>
        <item x="4"/>
        <item x="8"/>
        <item x="12"/>
        <item x="0"/>
        <item x="15"/>
        <item x="13"/>
        <item x="14"/>
        <item x="16"/>
        <item x="3"/>
        <item x="17"/>
        <item x="18"/>
        <item x="19"/>
        <item x="20"/>
        <item x="21"/>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U4:AV14" firstHeaderRow="1" firstDataRow="1" firstDataCol="1"/>
  <pivotFields count="46">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1" firstHeaderRow="0" firstDataRow="1" firstDataCol="1" rowPageCount="2" colPageCount="1"/>
  <pivotFields count="31">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7">
    <i>
      <x/>
    </i>
    <i r="1">
      <x/>
    </i>
    <i r="1">
      <x v="1"/>
    </i>
    <i>
      <x v="1"/>
    </i>
    <i r="1">
      <x/>
    </i>
    <i r="1">
      <x v="1"/>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1194">
      <pivotArea type="all" dataOnly="0" outline="0" fieldPosition="0"/>
    </format>
    <format dxfId="1193">
      <pivotArea grandRow="1" outline="0" collapsedLevelsAreSubtotals="1" fieldPosition="0"/>
    </format>
    <format dxfId="1192">
      <pivotArea dataOnly="0" labelOnly="1" grandRow="1" outline="0" fieldPosition="0"/>
    </format>
    <format dxfId="1191">
      <pivotArea outline="0" collapsedLevelsAreSubtotals="1" fieldPosition="0"/>
    </format>
    <format dxfId="1190">
      <pivotArea dataOnly="0" labelOnly="1" fieldPosition="0">
        <references count="1">
          <reference field="0" count="0"/>
        </references>
      </pivotArea>
    </format>
    <format dxfId="1189">
      <pivotArea dataOnly="0" labelOnly="1" grandRow="1" outline="0" fieldPosition="0"/>
    </format>
    <format dxfId="1188">
      <pivotArea field="1" grandRow="1" outline="0" collapsedLevelsAreSubtotals="1" axis="axisRow" fieldPosition="0">
        <references count="1">
          <reference field="4294967294" count="1" selected="0">
            <x v="2"/>
          </reference>
        </references>
      </pivotArea>
    </format>
    <format dxfId="1187">
      <pivotArea field="0" type="button" dataOnly="0" labelOnly="1" outline="0" axis="axisPage" fieldPosition="0"/>
    </format>
    <format dxfId="1186">
      <pivotArea dataOnly="0" labelOnly="1" outline="0" fieldPosition="0">
        <references count="1">
          <reference field="0" count="0"/>
        </references>
      </pivotArea>
    </format>
    <format dxfId="1185">
      <pivotArea field="0" type="button" dataOnly="0" labelOnly="1" outline="0" axis="axisPage" fieldPosition="0"/>
    </format>
    <format dxfId="1184">
      <pivotArea dataOnly="0" labelOnly="1" outline="0" fieldPosition="0">
        <references count="1">
          <reference field="0" count="0"/>
        </references>
      </pivotArea>
    </format>
    <format dxfId="1183">
      <pivotArea collapsedLevelsAreSubtotals="1" fieldPosition="0">
        <references count="1">
          <reference field="1" count="1">
            <x v="0"/>
          </reference>
        </references>
      </pivotArea>
    </format>
    <format dxfId="1182">
      <pivotArea field="1" type="button" dataOnly="0" labelOnly="1" outline="0" axis="axisRow" fieldPosition="0"/>
    </format>
    <format dxfId="1181">
      <pivotArea dataOnly="0" labelOnly="1" fieldPosition="0">
        <references count="1">
          <reference field="1" count="1">
            <x v="0"/>
          </reference>
        </references>
      </pivotArea>
    </format>
    <format dxfId="1180">
      <pivotArea dataOnly="0" labelOnly="1" outline="0" fieldPosition="0">
        <references count="1">
          <reference field="4294967294" count="3">
            <x v="0"/>
            <x v="1"/>
            <x v="2"/>
          </reference>
        </references>
      </pivotArea>
    </format>
    <format dxfId="1179">
      <pivotArea type="all" dataOnly="0" outline="0" fieldPosition="0"/>
    </format>
    <format dxfId="1178">
      <pivotArea collapsedLevelsAreSubtotals="1" fieldPosition="0">
        <references count="3">
          <reference field="4294967294" count="1" selected="0">
            <x v="2"/>
          </reference>
          <reference field="1" count="1" selected="0">
            <x v="0"/>
          </reference>
          <reference field="19" count="1">
            <x v="1"/>
          </reference>
        </references>
      </pivotArea>
    </format>
    <format dxfId="1177">
      <pivotArea collapsedLevelsAreSubtotals="1" fieldPosition="0">
        <references count="2">
          <reference field="4294967294" count="1" selected="0">
            <x v="2"/>
          </reference>
          <reference field="1" count="1">
            <x v="1"/>
          </reference>
        </references>
      </pivotArea>
    </format>
    <format dxfId="1176">
      <pivotArea collapsedLevelsAreSubtotals="1" fieldPosition="0">
        <references count="3">
          <reference field="4294967294" count="1" selected="0">
            <x v="2"/>
          </reference>
          <reference field="1" count="1" selected="0">
            <x v="1"/>
          </reference>
          <reference field="19" count="1">
            <x v="0"/>
          </reference>
        </references>
      </pivotArea>
    </format>
    <format dxfId="1175">
      <pivotArea collapsedLevelsAreSubtotals="1" fieldPosition="0">
        <references count="3">
          <reference field="4294967294" count="1" selected="0">
            <x v="2"/>
          </reference>
          <reference field="1" count="1" selected="0">
            <x v="1"/>
          </reference>
          <reference field="19" count="1">
            <x v="1"/>
          </reference>
        </references>
      </pivotArea>
    </format>
    <format dxfId="1174">
      <pivotArea dataOnly="0" labelOnly="1" outline="0" fieldPosition="0">
        <references count="1">
          <reference field="4294967294" count="1">
            <x v="2"/>
          </reference>
        </references>
      </pivotArea>
    </format>
    <format dxfId="1173">
      <pivotArea dataOnly="0" labelOnly="1" outline="0" fieldPosition="0">
        <references count="1">
          <reference field="4294967294" count="1">
            <x v="1"/>
          </reference>
        </references>
      </pivotArea>
    </format>
    <format dxfId="117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1">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207">
      <pivotArea type="all" dataOnly="0" outline="0" fieldPosition="0"/>
    </format>
    <format dxfId="1206">
      <pivotArea field="1" type="button" dataOnly="0" labelOnly="1" outline="0" axis="axisPage" fieldPosition="0"/>
    </format>
    <format dxfId="1205">
      <pivotArea grandRow="1" outline="0" collapsedLevelsAreSubtotals="1" fieldPosition="0"/>
    </format>
    <format dxfId="1204">
      <pivotArea dataOnly="0" labelOnly="1" grandRow="1" outline="0" fieldPosition="0"/>
    </format>
    <format dxfId="1203">
      <pivotArea outline="0" collapsedLevelsAreSubtotals="1" fieldPosition="0"/>
    </format>
    <format dxfId="1202">
      <pivotArea dataOnly="0" labelOnly="1" fieldPosition="0">
        <references count="1">
          <reference field="0" count="0"/>
        </references>
      </pivotArea>
    </format>
    <format dxfId="1201">
      <pivotArea dataOnly="0" labelOnly="1" grandRow="1" outline="0" fieldPosition="0"/>
    </format>
    <format dxfId="1200">
      <pivotArea type="topRight" dataOnly="0" labelOnly="1" outline="0" fieldPosition="0"/>
    </format>
    <format dxfId="1199">
      <pivotArea type="all" dataOnly="0" outline="0" fieldPosition="0"/>
    </format>
    <format dxfId="1198">
      <pivotArea dataOnly="0" labelOnly="1" outline="0" fieldPosition="0">
        <references count="1">
          <reference field="1" count="0"/>
        </references>
      </pivotArea>
    </format>
    <format dxfId="1197">
      <pivotArea type="all" dataOnly="0" outline="0" fieldPosition="0"/>
    </format>
    <format dxfId="1196">
      <pivotArea collapsedLevelsAreSubtotals="1" fieldPosition="0">
        <references count="1">
          <reference field="0" count="0"/>
        </references>
      </pivotArea>
    </format>
    <format dxfId="119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3"/>
        <item x="2"/>
        <item x="12"/>
        <item x="20"/>
        <item x="22"/>
        <item x="14"/>
        <item x="8"/>
        <item x="15"/>
        <item x="17"/>
        <item x="6"/>
        <item x="18"/>
        <item x="10"/>
        <item x="11"/>
        <item x="4"/>
        <item x="13"/>
        <item x="0"/>
        <item x="5"/>
        <item x="19"/>
        <item x="9"/>
        <item x="7"/>
        <item x="16"/>
        <item x="1"/>
        <item x="2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20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23"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210">
      <pivotArea outline="0" collapsedLevelsAreSubtotals="1" fieldPosition="0"/>
    </format>
    <format dxfId="120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72" firstHeaderRow="0" firstDataRow="1" firstDataCol="5" rowPageCount="1" colPageCount="1"/>
  <pivotFields count="31">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0">
        <item x="145"/>
        <item x="153"/>
        <item x="142"/>
        <item x="47"/>
        <item x="150"/>
        <item x="163"/>
        <item x="147"/>
        <item x="167"/>
        <item x="144"/>
        <item x="88"/>
        <item x="187"/>
        <item x="188"/>
        <item x="185"/>
        <item x="143"/>
        <item x="161"/>
        <item x="146"/>
        <item x="113"/>
        <item x="112"/>
        <item x="125"/>
        <item x="198"/>
        <item x="109"/>
        <item x="84"/>
        <item x="39"/>
        <item x="137"/>
        <item x="148"/>
        <item x="122"/>
        <item x="154"/>
        <item x="160"/>
        <item x="227"/>
        <item x="231"/>
        <item x="43"/>
        <item x="25"/>
        <item x="114"/>
        <item x="135"/>
        <item x="164"/>
        <item x="162"/>
        <item x="140"/>
        <item x="97"/>
        <item x="186"/>
        <item x="201"/>
        <item x="40"/>
        <item x="121"/>
        <item x="49"/>
        <item x="178"/>
        <item x="189"/>
        <item x="19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95"/>
        <item x="13"/>
        <item x="61"/>
        <item x="7"/>
        <item x="182"/>
        <item x="183"/>
        <item x="62"/>
        <item x="169"/>
        <item x="128"/>
        <item x="202"/>
        <item x="127"/>
        <item x="200"/>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238"/>
        <item x="184"/>
        <item x="151"/>
        <item x="235"/>
        <item x="237"/>
        <item x="48"/>
        <item x="14"/>
        <item x="60"/>
        <item x="131"/>
        <item x="212"/>
        <item x="211"/>
        <item x="239"/>
        <item x="56"/>
        <item x="206"/>
        <item x="54"/>
        <item x="221"/>
        <item x="99"/>
        <item x="218"/>
        <item x="175"/>
        <item x="179"/>
        <item x="132"/>
        <item x="165"/>
        <item x="222"/>
        <item x="226"/>
        <item x="241"/>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197"/>
        <item x="72"/>
        <item x="5"/>
        <item x="6"/>
        <item x="38"/>
        <item x="66"/>
        <item x="67"/>
        <item x="8"/>
        <item x="191"/>
        <item x="78"/>
        <item x="194"/>
        <item x="177"/>
        <item x="52"/>
        <item x="110"/>
        <item x="59"/>
        <item x="0"/>
        <item x="3"/>
        <item x="2"/>
        <item x="4"/>
        <item x="34"/>
        <item x="196"/>
        <item x="100"/>
        <item x="181"/>
        <item x="74"/>
        <item x="35"/>
        <item x="33"/>
        <item x="159"/>
        <item x="158"/>
        <item x="115"/>
        <item x="41"/>
        <item x="149"/>
        <item x="19"/>
        <item x="50"/>
        <item x="105"/>
        <item x="172"/>
        <item x="234"/>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3"/>
        <item x="284"/>
        <item x="285"/>
        <item x="286"/>
        <item x="287"/>
        <item x="244"/>
        <item x="245"/>
        <item x="261"/>
        <item x="289"/>
        <item x="269"/>
        <item x="270"/>
        <item x="271"/>
        <item x="268"/>
        <item x="9"/>
        <item x="274"/>
        <item x="75"/>
        <item x="273"/>
        <item x="275"/>
        <item x="288"/>
        <item x="276"/>
        <item x="248"/>
        <item x="233"/>
        <item x="267"/>
        <item x="277"/>
        <item x="278"/>
        <item x="279"/>
        <item x="280"/>
        <item x="281"/>
        <item x="282"/>
      </items>
      <extLst>
        <ext xmlns:x14="http://schemas.microsoft.com/office/spreadsheetml/2009/9/main" uri="{2946ED86-A175-432a-8AC1-64E0C546D7DE}">
          <x14:pivotField fillDownLabels="1"/>
        </ext>
      </extLst>
    </pivotField>
    <pivotField name="CpPcode"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198"/>
        <item x="199"/>
        <item x="200"/>
        <item x="201"/>
        <item x="202"/>
        <item x="203"/>
        <item x="204"/>
        <item x="205"/>
        <item x="214"/>
        <item x="54"/>
        <item x="56"/>
        <item x="215"/>
        <item x="90"/>
        <item x="219"/>
        <item x="221"/>
        <item x="223"/>
        <item x="97"/>
        <item x="99"/>
        <item x="101"/>
        <item x="225"/>
        <item x="174"/>
        <item x="235"/>
        <item x="179"/>
        <item x="236"/>
        <item x="187"/>
        <item x="237"/>
        <item x="189"/>
        <item x="209"/>
        <item x="224"/>
        <item x="226"/>
        <item x="228"/>
        <item x="229"/>
        <item x="230"/>
        <item x="234"/>
        <item x="238"/>
        <item x="242"/>
        <item x="244"/>
        <item x="240"/>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86"/>
        <item x="287"/>
        <item x="288"/>
        <item x="289"/>
        <item x="290"/>
        <item x="247"/>
        <item x="248"/>
        <item x="264"/>
        <item x="292"/>
        <item x="271"/>
        <item x="272"/>
        <item x="273"/>
        <item x="274"/>
        <item x="276"/>
        <item x="277"/>
        <item x="278"/>
        <item x="279"/>
        <item x="291"/>
        <item x="280"/>
        <item x="281"/>
        <item x="282"/>
        <item x="283"/>
        <item x="284"/>
        <item x="285"/>
      </items>
      <extLst>
        <ext xmlns:x14="http://schemas.microsoft.com/office/spreadsheetml/2009/9/main" uri="{2946ED86-A175-432a-8AC1-64E0C546D7DE}">
          <x14:pivotField fillDownLabels="1"/>
        </ext>
      </extLst>
    </pivotField>
    <pivotField axis="axisRow" compact="0" outline="0" showAll="0" defaultSubtotal="0">
      <items count="208">
        <item x="125"/>
        <item x="126"/>
        <item x="88"/>
        <item x="128"/>
        <item x="129"/>
        <item x="86"/>
        <item x="81"/>
        <item x="76"/>
        <item x="77"/>
        <item x="142"/>
        <item x="78"/>
        <item x="114"/>
        <item x="132"/>
        <item x="131"/>
        <item x="79"/>
        <item x="133"/>
        <item x="117"/>
        <item x="85"/>
        <item x="87"/>
        <item x="121"/>
        <item x="116"/>
        <item x="120"/>
        <item x="127"/>
        <item x="119"/>
        <item x="122"/>
        <item x="124"/>
        <item x="123"/>
        <item x="118"/>
        <item x="75"/>
        <item x="74"/>
        <item x="130"/>
        <item x="110"/>
        <item x="139"/>
        <item x="63"/>
        <item x="144"/>
        <item x="72"/>
        <item x="71"/>
        <item x="73"/>
        <item x="181"/>
        <item x="176"/>
        <item x="109"/>
        <item x="174"/>
        <item x="43"/>
        <item x="152"/>
        <item x="50"/>
        <item x="113"/>
        <item x="42"/>
        <item x="46"/>
        <item x="47"/>
        <item x="45"/>
        <item x="156"/>
        <item x="44"/>
        <item x="48"/>
        <item x="134"/>
        <item x="138"/>
        <item x="17"/>
        <item x="18"/>
        <item x="62"/>
        <item x="136"/>
        <item x="49"/>
        <item x="59"/>
        <item x="58"/>
        <item x="140"/>
        <item x="51"/>
        <item x="30"/>
        <item x="54"/>
        <item x="52"/>
        <item x="55"/>
        <item x="137"/>
        <item x="15"/>
        <item x="14"/>
        <item x="2"/>
        <item x="16"/>
        <item x="4"/>
        <item x="9"/>
        <item x="0"/>
        <item x="3"/>
        <item x="1"/>
        <item x="182"/>
        <item x="5"/>
        <item x="11"/>
        <item x="19"/>
        <item x="178"/>
        <item x="25"/>
        <item x="10"/>
        <item x="57"/>
        <item x="12"/>
        <item x="60"/>
        <item x="13"/>
        <item x="70"/>
        <item x="56"/>
        <item x="6"/>
        <item x="7"/>
        <item x="8"/>
        <item x="32"/>
        <item x="36"/>
        <item x="34"/>
        <item x="61"/>
        <item x="23"/>
        <item x="28"/>
        <item x="112"/>
        <item x="37"/>
        <item x="27"/>
        <item x="26"/>
        <item x="33"/>
        <item x="22"/>
        <item x="29"/>
        <item x="35"/>
        <item x="24"/>
        <item x="100"/>
        <item x="147"/>
        <item x="93"/>
        <item x="95"/>
        <item x="94"/>
        <item x="159"/>
        <item x="98"/>
        <item x="146"/>
        <item x="99"/>
        <item x="160"/>
        <item x="105"/>
        <item x="153"/>
        <item x="108"/>
        <item x="154"/>
        <item x="107"/>
        <item x="106"/>
        <item x="161"/>
        <item x="143"/>
        <item x="158"/>
        <item x="103"/>
        <item x="102"/>
        <item x="104"/>
        <item x="168"/>
        <item x="53"/>
        <item x="165"/>
        <item x="169"/>
        <item x="189"/>
        <item x="191"/>
        <item x="68"/>
        <item x="149"/>
        <item x="96"/>
        <item x="65"/>
        <item x="66"/>
        <item x="67"/>
        <item x="64"/>
        <item x="97"/>
        <item x="101"/>
        <item x="89"/>
        <item x="184"/>
        <item x="92"/>
        <item x="175"/>
        <item x="185"/>
        <item x="91"/>
        <item x="141"/>
        <item x="186"/>
        <item x="187"/>
        <item x="90"/>
        <item x="183"/>
        <item x="145"/>
        <item x="111"/>
        <item x="38"/>
        <item x="80"/>
        <item x="151"/>
        <item x="82"/>
        <item x="83"/>
        <item x="69"/>
        <item x="150"/>
        <item x="173"/>
        <item x="84"/>
        <item x="179"/>
        <item x="41"/>
        <item x="40"/>
        <item x="31"/>
        <item x="163"/>
        <item x="164"/>
        <item x="155"/>
        <item x="39"/>
        <item x="135"/>
        <item x="148"/>
        <item x="157"/>
        <item x="21"/>
        <item x="166"/>
        <item x="200"/>
        <item x="170"/>
        <item x="171"/>
        <item x="172"/>
        <item x="190"/>
        <item x="162"/>
        <item x="201"/>
        <item x="195"/>
        <item x="194"/>
        <item x="198"/>
        <item x="188"/>
        <item x="192"/>
        <item x="167"/>
        <item x="197"/>
        <item x="180"/>
        <item x="20"/>
        <item x="196"/>
        <item x="199"/>
        <item x="207"/>
        <item x="115"/>
        <item x="193"/>
        <item x="177"/>
        <item x="202"/>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69">
    <i>
      <x v="2"/>
      <x v="136"/>
      <x v="200"/>
      <x/>
      <x v="2"/>
    </i>
    <i>
      <x v="3"/>
      <x v="47"/>
      <x v="49"/>
      <x/>
      <x v="1"/>
    </i>
    <i>
      <x v="4"/>
      <x v="144"/>
      <x v="19"/>
      <x/>
      <x v="3"/>
    </i>
    <i>
      <x v="5"/>
      <x v="157"/>
      <x v="13"/>
      <x/>
      <x v="3"/>
    </i>
    <i>
      <x v="7"/>
      <x v="161"/>
      <x v="53"/>
      <x/>
      <x/>
    </i>
    <i>
      <x v="13"/>
      <x v="137"/>
      <x v="20"/>
      <x/>
      <x/>
    </i>
    <i>
      <x v="17"/>
      <x v="106"/>
      <x v="155"/>
      <x v="1"/>
      <x v="2"/>
    </i>
    <i>
      <x v="18"/>
      <x v="119"/>
      <x v="128"/>
      <x v="1"/>
      <x v="1"/>
    </i>
    <i>
      <x v="20"/>
      <x v="103"/>
      <x v="2"/>
      <x/>
      <x v="6"/>
    </i>
    <i>
      <x v="22"/>
      <x v="39"/>
      <x v="175"/>
      <x/>
      <x v="3"/>
    </i>
    <i>
      <x v="24"/>
      <x v="142"/>
      <x v="21"/>
      <x/>
      <x v="3"/>
    </i>
    <i>
      <x v="25"/>
      <x v="116"/>
      <x v="109"/>
      <x v="1"/>
      <x v="2"/>
    </i>
    <i>
      <x v="31"/>
      <x v="25"/>
      <x v="83"/>
      <x/>
      <x v="3"/>
    </i>
    <i>
      <x v="32"/>
      <x v="108"/>
      <x v="148"/>
      <x v="1"/>
      <x/>
    </i>
    <i>
      <x v="33"/>
      <x v="129"/>
      <x v="31"/>
      <x/>
      <x/>
    </i>
    <i>
      <x v="34"/>
      <x v="158"/>
      <x v="12"/>
      <x/>
      <x v="6"/>
    </i>
    <i>
      <x v="36"/>
      <x v="134"/>
      <x v="45"/>
      <x/>
      <x v="6"/>
    </i>
    <i r="1">
      <x v="163"/>
      <x v="58"/>
      <x/>
      <x v="6"/>
    </i>
    <i r="1">
      <x v="164"/>
      <x v="68"/>
      <x/>
      <x v="6"/>
    </i>
    <i>
      <x v="39"/>
      <x v="194"/>
      <x v="7"/>
      <x/>
      <x/>
    </i>
    <i>
      <x v="40"/>
      <x v="40"/>
      <x v="170"/>
      <x v="1"/>
      <x/>
    </i>
    <i>
      <x v="41"/>
      <x v="115"/>
      <x v="117"/>
      <x v="1"/>
      <x v="2"/>
    </i>
    <i>
      <x v="42"/>
      <x v="49"/>
      <x v="48"/>
      <x/>
      <x/>
    </i>
    <i>
      <x v="43"/>
      <x v="173"/>
      <x v="110"/>
      <x v="1"/>
      <x v="6"/>
    </i>
    <i>
      <x v="45"/>
      <x v="192"/>
      <x v="114"/>
      <x/>
      <x v="6"/>
    </i>
    <i>
      <x v="46"/>
      <x v="15"/>
      <x v="69"/>
      <x/>
      <x/>
    </i>
    <i>
      <x v="47"/>
      <x v="16"/>
      <x v="72"/>
      <x/>
      <x v="2"/>
    </i>
    <i>
      <x v="48"/>
      <x v="114"/>
      <x v="115"/>
      <x v="1"/>
      <x v="2"/>
    </i>
    <i>
      <x v="50"/>
      <x v="167"/>
      <x v="62"/>
      <x/>
      <x v="6"/>
    </i>
    <i>
      <x v="52"/>
      <x v="209"/>
      <x v="156"/>
      <x/>
      <x/>
    </i>
    <i>
      <x v="53"/>
      <x v="210"/>
      <x v="157"/>
      <x/>
      <x v="5"/>
    </i>
    <i>
      <x v="54"/>
      <x v="10"/>
      <x v="84"/>
      <x/>
      <x/>
    </i>
    <i>
      <x v="55"/>
      <x v="74"/>
      <x v="35"/>
      <x/>
      <x/>
    </i>
    <i>
      <x v="59"/>
      <x v="118"/>
      <x v="129"/>
      <x v="1"/>
      <x v="1"/>
    </i>
    <i>
      <x v="60"/>
      <x v="128"/>
      <x v="171"/>
      <x/>
      <x v="6"/>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6"/>
    </i>
    <i>
      <x v="97"/>
      <x v="203"/>
      <x v="39"/>
      <x/>
      <x/>
    </i>
    <i>
      <x v="98"/>
      <x v="218"/>
      <x v="38"/>
      <x/>
      <x v="5"/>
    </i>
    <i>
      <x v="99"/>
      <x v="63"/>
      <x v="57"/>
      <x/>
      <x/>
    </i>
    <i>
      <x v="108"/>
      <x v="17"/>
      <x v="55"/>
      <x/>
      <x v="3"/>
    </i>
    <i>
      <x v="109"/>
      <x v="18"/>
      <x v="56"/>
      <x/>
      <x v="3"/>
    </i>
    <i>
      <x v="114"/>
      <x v="85"/>
      <x v="14"/>
      <x/>
      <x v="6"/>
    </i>
    <i>
      <x v="117"/>
      <x v="53"/>
      <x v="63"/>
      <x/>
      <x/>
    </i>
    <i>
      <x v="123"/>
      <x v="201"/>
      <x v="166"/>
      <x/>
      <x/>
    </i>
    <i>
      <x v="124"/>
      <x v="226"/>
      <x v="191"/>
      <x/>
      <x v="5"/>
    </i>
    <i>
      <x v="127"/>
      <x v="222"/>
      <x v="153"/>
      <x/>
      <x/>
    </i>
    <i>
      <x v="128"/>
      <x v="225"/>
      <x v="154"/>
      <x/>
      <x v="5"/>
    </i>
    <i>
      <x v="129"/>
      <x v="48"/>
      <x v="47"/>
      <x/>
      <x v="3"/>
    </i>
    <i>
      <x v="131"/>
      <x v="58"/>
      <x v="85"/>
      <x/>
      <x v="6"/>
    </i>
    <i>
      <x v="133"/>
      <x v="199"/>
      <x v="134"/>
      <x/>
      <x/>
    </i>
    <i>
      <x v="134"/>
      <x v="196"/>
      <x v="131"/>
      <x/>
      <x/>
    </i>
    <i>
      <x v="135"/>
      <x v="223"/>
      <x v="135"/>
      <x/>
      <x/>
    </i>
    <i>
      <x v="136"/>
      <x v="198"/>
      <x v="132"/>
      <x/>
      <x v="5"/>
    </i>
    <i>
      <x v="141"/>
      <x v="202"/>
      <x v="149"/>
      <x/>
      <x/>
    </i>
    <i>
      <x v="145"/>
      <x v="159"/>
      <x v="15"/>
      <x/>
      <x v="6"/>
    </i>
    <i>
      <x v="146"/>
      <x v="207"/>
      <x v="82"/>
      <x/>
      <x/>
    </i>
    <i>
      <x v="148"/>
      <x v="224"/>
      <x v="136"/>
      <x/>
      <x/>
    </i>
    <i>
      <x v="149"/>
      <x v="21"/>
      <x v="179"/>
      <x/>
      <x v="2"/>
    </i>
    <i>
      <x v="150"/>
      <x v="51"/>
      <x v="59"/>
      <x/>
      <x v="1"/>
    </i>
    <i>
      <x v="151"/>
      <x v="97"/>
      <x v="17"/>
      <x/>
      <x v="2"/>
    </i>
    <i>
      <x v="153"/>
      <x v="217"/>
      <x v="168"/>
      <x v="1"/>
      <x v="6"/>
    </i>
    <i>
      <x v="154"/>
      <x v="75"/>
      <x v="37"/>
      <x/>
      <x/>
    </i>
    <i>
      <x v="156"/>
      <x v="30"/>
      <x v="64"/>
      <x/>
      <x v="3"/>
    </i>
    <i>
      <x v="157"/>
      <x v="130"/>
      <x v="28"/>
      <x/>
      <x/>
    </i>
    <i>
      <x v="160"/>
      <x v="120"/>
      <x v="130"/>
      <x v="1"/>
      <x v="1"/>
    </i>
    <i>
      <x v="162"/>
      <x v="1"/>
      <x v="77"/>
      <x/>
      <x/>
    </i>
    <i>
      <x v="163"/>
      <x v="69"/>
      <x v="142"/>
      <x/>
      <x/>
    </i>
    <i>
      <x v="164"/>
      <x v="133"/>
      <x v="100"/>
      <x/>
      <x v="2"/>
    </i>
    <i>
      <x v="165"/>
      <x v="117"/>
      <x v="145"/>
      <x v="1"/>
      <x v="1"/>
    </i>
    <i>
      <x v="166"/>
      <x v="175"/>
      <x v="177"/>
      <x/>
      <x v="2"/>
    </i>
    <i>
      <x v="168"/>
      <x v="160"/>
      <x v="53"/>
      <x/>
      <x/>
    </i>
    <i>
      <x v="170"/>
      <x v="132"/>
      <x v="158"/>
      <x v="1"/>
      <x v="2"/>
    </i>
    <i>
      <x v="171"/>
      <x v="29"/>
      <x v="106"/>
      <x/>
      <x v="3"/>
    </i>
    <i>
      <x v="172"/>
      <x v="22"/>
      <x v="105"/>
      <x/>
      <x/>
    </i>
    <i>
      <x v="173"/>
      <x v="27"/>
      <x v="102"/>
      <x/>
      <x v="3"/>
    </i>
    <i>
      <x v="174"/>
      <x v="23"/>
      <x v="98"/>
      <x/>
      <x v="3"/>
    </i>
    <i>
      <x v="175"/>
      <x v="150"/>
      <x v="1"/>
      <x/>
      <x v="6"/>
    </i>
    <i>
      <x v="176"/>
      <x v="44"/>
      <x v="46"/>
      <x/>
      <x/>
    </i>
    <i>
      <x v="180"/>
      <x v="190"/>
      <x v="178"/>
      <x/>
      <x v="2"/>
    </i>
    <i>
      <x v="181"/>
      <x v="70"/>
      <x v="137"/>
      <x/>
      <x/>
    </i>
    <i>
      <x v="182"/>
      <x v="5"/>
      <x v="79"/>
      <x/>
      <x/>
    </i>
    <i>
      <x v="183"/>
      <x v="6"/>
      <x v="91"/>
      <x/>
      <x v="3"/>
    </i>
    <i>
      <x v="184"/>
      <x v="38"/>
      <x v="159"/>
      <x/>
      <x/>
    </i>
    <i>
      <x v="185"/>
      <x v="64"/>
      <x v="33"/>
      <x/>
      <x/>
    </i>
    <i>
      <x v="186"/>
      <x v="65"/>
      <x v="33"/>
      <x/>
      <x v="1"/>
    </i>
    <i>
      <x v="187"/>
      <x v="8"/>
      <x v="93"/>
      <x/>
      <x/>
    </i>
    <i>
      <x v="189"/>
      <x v="76"/>
      <x v="29"/>
      <x/>
      <x v="2"/>
    </i>
    <i>
      <x v="191"/>
      <x v="172"/>
      <x v="116"/>
      <x/>
      <x v="6"/>
    </i>
    <i>
      <x v="192"/>
      <x v="52"/>
      <x v="44"/>
      <x/>
      <x v="3"/>
    </i>
    <i>
      <x v="195"/>
      <x/>
      <x v="75"/>
      <x/>
      <x/>
    </i>
    <i>
      <x v="196"/>
      <x v="3"/>
      <x v="76"/>
      <x/>
      <x v="6"/>
    </i>
    <i>
      <x v="197"/>
      <x v="2"/>
      <x v="71"/>
      <x/>
      <x/>
    </i>
    <i>
      <x v="198"/>
      <x v="4"/>
      <x v="73"/>
      <x/>
      <x/>
    </i>
    <i>
      <x v="199"/>
      <x v="34"/>
      <x v="96"/>
      <x/>
      <x v="3"/>
    </i>
    <i>
      <x v="203"/>
      <x v="72"/>
      <x v="89"/>
      <x/>
      <x v="6"/>
    </i>
    <i>
      <x v="204"/>
      <x v="35"/>
      <x v="107"/>
      <x/>
      <x v="3"/>
    </i>
    <i>
      <x v="207"/>
      <x v="152"/>
      <x v="3"/>
      <x/>
      <x/>
    </i>
    <i>
      <x v="208"/>
      <x v="109"/>
      <x v="111"/>
      <x v="1"/>
      <x v="2"/>
    </i>
    <i>
      <x v="212"/>
      <x v="50"/>
      <x v="52"/>
      <x/>
      <x v="3"/>
    </i>
    <i>
      <x v="213"/>
      <x v="99"/>
      <x v="5"/>
      <x/>
      <x/>
    </i>
    <i>
      <x v="215"/>
      <x v="213"/>
      <x v="150"/>
      <x/>
      <x/>
    </i>
    <i>
      <x v="217"/>
      <x v="228"/>
      <x v="172"/>
      <x/>
      <x v="6"/>
    </i>
    <i>
      <x v="218"/>
      <x v="229"/>
      <x v="173"/>
      <x/>
      <x v="6"/>
    </i>
    <i>
      <x v="222"/>
      <x v="113"/>
      <x v="144"/>
      <x v="1"/>
      <x/>
    </i>
    <i>
      <x v="223"/>
      <x v="20"/>
      <x v="196"/>
      <x/>
      <x v="3"/>
    </i>
    <i>
      <x v="225"/>
      <x v="231"/>
      <x v="180"/>
      <x/>
      <x/>
    </i>
    <i>
      <x v="226"/>
      <x v="230"/>
      <x v="181"/>
      <x/>
      <x/>
    </i>
    <i>
      <x v="228"/>
      <x v="233"/>
      <x v="193"/>
      <x/>
      <x/>
    </i>
    <i>
      <x v="230"/>
      <x v="235"/>
      <x v="182"/>
      <x v="1"/>
      <x/>
    </i>
    <i>
      <x v="231"/>
      <x v="236"/>
      <x v="183"/>
      <x v="1"/>
      <x/>
    </i>
    <i>
      <x v="233"/>
      <x v="238"/>
      <x v="185"/>
      <x/>
      <x v="6"/>
    </i>
    <i>
      <x v="236"/>
      <x v="245"/>
      <x v="188"/>
      <x/>
      <x v="6"/>
    </i>
    <i>
      <x v="237"/>
      <x v="242"/>
      <x v="192"/>
      <x/>
      <x v="6"/>
    </i>
    <i>
      <x v="238"/>
      <x v="243"/>
      <x v="171"/>
      <x/>
      <x v="6"/>
    </i>
    <i>
      <x v="240"/>
      <x v="248"/>
      <x v="190"/>
      <x/>
      <x v="6"/>
    </i>
    <i>
      <x v="242"/>
      <x v="250"/>
      <x v="195"/>
      <x/>
      <x/>
    </i>
    <i>
      <x v="244"/>
      <x v="252"/>
      <x v="195"/>
      <x/>
      <x v="6"/>
    </i>
    <i>
      <x v="245"/>
      <x v="253"/>
      <x v="195"/>
      <x/>
      <x v="2"/>
    </i>
    <i>
      <x v="250"/>
      <x v="258"/>
      <x v="171"/>
      <x/>
      <x v="5"/>
    </i>
    <i>
      <x v="262"/>
      <x v="270"/>
      <x v="199"/>
      <x/>
      <x v="6"/>
    </i>
    <i>
      <x v="263"/>
      <x v="271"/>
      <x v="157"/>
      <x/>
      <x/>
    </i>
    <i>
      <x v="264"/>
      <x v="272"/>
      <x v="171"/>
      <x/>
      <x v="6"/>
    </i>
    <i>
      <x v="265"/>
      <x v="273"/>
      <x v="161"/>
      <x/>
      <x/>
    </i>
    <i>
      <x v="266"/>
      <x v="274"/>
      <x v="201"/>
      <x/>
      <x v="6"/>
    </i>
    <i>
      <x v="267"/>
      <x v="275"/>
      <x v="171"/>
      <x v="1"/>
      <x/>
    </i>
    <i>
      <x v="268"/>
      <x v="276"/>
      <x v="171"/>
      <x/>
      <x/>
    </i>
    <i>
      <x v="269"/>
      <x v="277"/>
      <x v="198"/>
      <x/>
      <x v="5"/>
    </i>
    <i>
      <x v="270"/>
      <x v="279"/>
      <x v="171"/>
      <x/>
      <x v="6"/>
    </i>
    <i>
      <x v="271"/>
      <x v="280"/>
      <x v="171"/>
      <x/>
      <x v="6"/>
    </i>
    <i>
      <x v="272"/>
      <x v="281"/>
      <x v="171"/>
      <x/>
      <x v="6"/>
    </i>
    <i>
      <x v="273"/>
      <x v="278"/>
      <x v="171"/>
      <x/>
      <x v="6"/>
    </i>
    <i>
      <x v="274"/>
      <x v="9"/>
      <x v="74"/>
      <x/>
      <x/>
    </i>
    <i>
      <x v="275"/>
      <x v="283"/>
      <x v="171"/>
      <x/>
      <x v="6"/>
    </i>
    <i>
      <x v="276"/>
      <x v="73"/>
      <x v="36"/>
      <x/>
      <x/>
    </i>
    <i>
      <x v="279"/>
      <x v="286"/>
      <x v="171"/>
      <x/>
      <x v="6"/>
    </i>
    <i>
      <x v="280"/>
      <x v="285"/>
      <x v="171"/>
      <x/>
      <x v="6"/>
    </i>
    <i>
      <x v="281"/>
      <x v="246"/>
      <x v="197"/>
      <x/>
      <x v="5"/>
    </i>
    <i>
      <x v="282"/>
      <x v="211"/>
      <x v="147"/>
      <x/>
      <x/>
    </i>
    <i>
      <x v="283"/>
      <x v="241"/>
      <x v="187"/>
      <x/>
      <x/>
    </i>
    <i>
      <x v="284"/>
      <x v="287"/>
      <x v="203"/>
      <x/>
      <x v="6"/>
    </i>
    <i>
      <x v="285"/>
      <x v="288"/>
      <x v="204"/>
      <x/>
      <x v="6"/>
    </i>
    <i>
      <x v="286"/>
      <x v="289"/>
      <x v="205"/>
      <x/>
      <x v="6"/>
    </i>
    <i>
      <x v="287"/>
      <x v="290"/>
      <x v="171"/>
      <x/>
      <x v="6"/>
    </i>
    <i>
      <x v="288"/>
      <x v="291"/>
      <x v="206"/>
      <x/>
      <x v="6"/>
    </i>
    <i>
      <x v="289"/>
      <x v="292"/>
      <x v="207"/>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200" firstHeaderRow="0" firstDataRow="1" firstDataCol="6" rowPageCount="2" colPageCount="1"/>
  <pivotFields count="31">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3"/>
        <item x="2"/>
        <item x="12"/>
        <item x="20"/>
        <item x="14"/>
        <item x="8"/>
        <item x="15"/>
        <item x="17"/>
        <item x="6"/>
        <item x="18"/>
        <item x="10"/>
        <item x="11"/>
        <item x="4"/>
        <item x="13"/>
        <item x="0"/>
        <item x="5"/>
        <item x="19"/>
        <item x="9"/>
        <item x="7"/>
        <item x="16"/>
        <item x="1"/>
        <item x="2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90">
        <item x="145"/>
        <item x="153"/>
        <item x="142"/>
        <item x="47"/>
        <item x="150"/>
        <item x="163"/>
        <item x="147"/>
        <item x="167"/>
        <item x="144"/>
        <item x="88"/>
        <item x="187"/>
        <item x="188"/>
        <item x="185"/>
        <item x="143"/>
        <item x="161"/>
        <item x="146"/>
        <item x="113"/>
        <item x="112"/>
        <item x="125"/>
        <item x="109"/>
        <item x="84"/>
        <item x="39"/>
        <item x="137"/>
        <item x="148"/>
        <item x="122"/>
        <item x="154"/>
        <item x="160"/>
        <item x="227"/>
        <item x="231"/>
        <item x="43"/>
        <item x="25"/>
        <item x="114"/>
        <item x="135"/>
        <item x="164"/>
        <item x="162"/>
        <item x="140"/>
        <item x="97"/>
        <item x="186"/>
        <item x="40"/>
        <item x="121"/>
        <item x="49"/>
        <item x="178"/>
        <item x="189"/>
        <item x="15"/>
        <item x="16"/>
        <item x="120"/>
        <item x="45"/>
        <item x="170"/>
        <item x="171"/>
        <item x="232"/>
        <item x="176"/>
        <item x="10"/>
        <item x="76"/>
        <item x="73"/>
        <item x="173"/>
        <item x="42"/>
        <item x="124"/>
        <item x="134"/>
        <item x="133"/>
        <item x="12"/>
        <item x="11"/>
        <item x="168"/>
        <item x="155"/>
        <item x="141"/>
        <item x="46"/>
        <item x="70"/>
        <item x="68"/>
        <item x="69"/>
        <item x="130"/>
        <item x="107"/>
        <item x="193"/>
        <item x="24"/>
        <item x="118"/>
        <item x="63"/>
        <item x="28"/>
        <item x="26"/>
        <item x="37"/>
        <item x="36"/>
        <item x="190"/>
        <item x="13"/>
        <item x="61"/>
        <item x="7"/>
        <item x="182"/>
        <item x="183"/>
        <item x="62"/>
        <item x="169"/>
        <item x="128"/>
        <item x="127"/>
        <item x="129"/>
        <item x="117"/>
        <item x="57"/>
        <item x="220"/>
        <item x="225"/>
        <item x="65"/>
        <item x="91"/>
        <item x="89"/>
        <item x="93"/>
        <item x="95"/>
        <item x="96"/>
        <item x="92"/>
        <item x="98"/>
        <item x="94"/>
        <item x="17"/>
        <item x="18"/>
        <item x="106"/>
        <item x="86"/>
        <item x="83"/>
        <item x="82"/>
        <item x="87"/>
        <item x="85"/>
        <item x="152"/>
        <item x="53"/>
        <item x="55"/>
        <item x="101"/>
        <item x="90"/>
        <item x="217"/>
        <item x="174"/>
        <item x="216"/>
        <item x="184"/>
        <item x="151"/>
        <item x="48"/>
        <item x="14"/>
        <item x="60"/>
        <item x="131"/>
        <item x="212"/>
        <item x="211"/>
        <item x="56"/>
        <item x="206"/>
        <item x="54"/>
        <item x="221"/>
        <item x="99"/>
        <item x="218"/>
        <item x="175"/>
        <item x="179"/>
        <item x="132"/>
        <item x="165"/>
        <item x="222"/>
        <item x="226"/>
        <item x="21"/>
        <item x="51"/>
        <item x="103"/>
        <item x="79"/>
        <item x="223"/>
        <item x="77"/>
        <item x="192"/>
        <item x="30"/>
        <item x="136"/>
        <item x="80"/>
        <item x="81"/>
        <item x="126"/>
        <item x="58"/>
        <item x="1"/>
        <item x="71"/>
        <item x="139"/>
        <item x="123"/>
        <item x="180"/>
        <item x="102"/>
        <item x="166"/>
        <item x="64"/>
        <item x="138"/>
        <item x="29"/>
        <item x="22"/>
        <item x="27"/>
        <item x="23"/>
        <item x="156"/>
        <item x="44"/>
        <item x="108"/>
        <item x="157"/>
        <item x="104"/>
        <item x="72"/>
        <item x="5"/>
        <item x="6"/>
        <item x="38"/>
        <item x="66"/>
        <item x="67"/>
        <item x="8"/>
        <item x="191"/>
        <item x="78"/>
        <item x="194"/>
        <item x="177"/>
        <item x="52"/>
        <item x="110"/>
        <item x="59"/>
        <item x="0"/>
        <item x="3"/>
        <item x="2"/>
        <item x="4"/>
        <item x="34"/>
        <item x="100"/>
        <item x="181"/>
        <item x="74"/>
        <item x="35"/>
        <item x="33"/>
        <item x="159"/>
        <item x="158"/>
        <item x="115"/>
        <item x="41"/>
        <item x="149"/>
        <item x="19"/>
        <item x="50"/>
        <item x="105"/>
        <item x="172"/>
        <item x="234"/>
        <item x="195"/>
        <item x="197"/>
        <item x="196"/>
        <item x="198"/>
        <item x="199"/>
        <item x="235"/>
        <item x="239"/>
        <item x="200"/>
        <item x="237"/>
        <item x="201"/>
        <item x="241"/>
        <item x="202"/>
        <item x="238"/>
        <item x="203"/>
        <item x="204"/>
        <item x="205"/>
        <item x="32"/>
        <item x="31"/>
        <item x="116"/>
        <item x="119"/>
        <item x="20"/>
        <item x="111"/>
        <item x="207"/>
        <item x="266"/>
        <item x="208"/>
        <item x="209"/>
        <item x="210"/>
        <item x="213"/>
        <item x="214"/>
        <item x="215"/>
        <item x="240"/>
        <item x="219"/>
        <item x="246"/>
        <item x="247"/>
        <item x="242"/>
        <item x="243"/>
        <item x="249"/>
        <item x="250"/>
        <item x="224"/>
        <item x="228"/>
        <item x="229"/>
        <item x="230"/>
        <item x="236"/>
        <item x="251"/>
        <item x="252"/>
        <item x="253"/>
        <item x="254"/>
        <item x="255"/>
        <item x="256"/>
        <item x="257"/>
        <item x="258"/>
        <item x="259"/>
        <item x="260"/>
        <item x="262"/>
        <item x="263"/>
        <item x="264"/>
        <item x="265"/>
        <item x="272"/>
        <item x="283"/>
        <item x="284"/>
        <item x="285"/>
        <item x="286"/>
        <item x="287"/>
        <item x="244"/>
        <item x="245"/>
        <item x="261"/>
        <item x="289"/>
        <item x="269"/>
        <item x="270"/>
        <item x="271"/>
        <item x="268"/>
        <item x="9"/>
        <item x="274"/>
        <item x="75"/>
        <item x="273"/>
        <item x="275"/>
        <item x="288"/>
        <item x="276"/>
        <item x="248"/>
        <item x="233"/>
        <item x="267"/>
        <item x="277"/>
        <item x="278"/>
        <item x="279"/>
        <item x="280"/>
        <item x="281"/>
        <item x="282"/>
      </items>
    </pivotField>
    <pivotField axis="axisRow" compact="0" outline="0" showAll="0" defaultSubtota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1"/>
        <item x="92"/>
        <item x="93"/>
        <item x="94"/>
        <item x="95"/>
        <item x="96"/>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7"/>
        <item x="178"/>
        <item x="180"/>
        <item x="181"/>
        <item x="182"/>
        <item x="183"/>
        <item x="184"/>
        <item x="185"/>
        <item x="186"/>
        <item x="188"/>
        <item x="190"/>
        <item x="191"/>
        <item x="192"/>
        <item x="193"/>
        <item x="194"/>
        <item x="195"/>
        <item x="196"/>
        <item x="197"/>
        <item x="214"/>
        <item x="54"/>
        <item x="56"/>
        <item x="215"/>
        <item x="90"/>
        <item x="219"/>
        <item x="221"/>
        <item x="223"/>
        <item x="97"/>
        <item x="99"/>
        <item x="101"/>
        <item x="225"/>
        <item x="174"/>
        <item x="235"/>
        <item x="179"/>
        <item x="236"/>
        <item x="187"/>
        <item x="237"/>
        <item x="189"/>
        <item x="209"/>
        <item x="224"/>
        <item x="226"/>
        <item x="228"/>
        <item x="229"/>
        <item x="230"/>
        <item x="234"/>
        <item x="198"/>
        <item x="199"/>
        <item x="200"/>
        <item x="201"/>
        <item x="202"/>
        <item x="238"/>
        <item x="242"/>
        <item x="244"/>
        <item x="203"/>
        <item x="240"/>
        <item x="204"/>
        <item x="205"/>
        <item x="241"/>
        <item x="206"/>
        <item x="207"/>
        <item x="208"/>
        <item x="269"/>
        <item x="210"/>
        <item x="211"/>
        <item x="212"/>
        <item x="213"/>
        <item x="216"/>
        <item x="217"/>
        <item x="218"/>
        <item x="243"/>
        <item x="222"/>
        <item x="220"/>
        <item x="270"/>
        <item x="245"/>
        <item x="246"/>
        <item x="249"/>
        <item x="250"/>
        <item x="251"/>
        <item x="252"/>
        <item x="253"/>
        <item x="227"/>
        <item x="231"/>
        <item x="232"/>
        <item x="233"/>
        <item x="239"/>
        <item x="254"/>
        <item x="255"/>
        <item x="256"/>
        <item x="257"/>
        <item x="258"/>
        <item x="259"/>
        <item x="260"/>
        <item x="261"/>
        <item x="262"/>
        <item x="263"/>
        <item x="265"/>
        <item x="266"/>
        <item x="267"/>
        <item x="268"/>
        <item x="275"/>
        <item x="286"/>
        <item x="287"/>
        <item x="288"/>
        <item x="289"/>
        <item x="290"/>
        <item x="247"/>
        <item x="248"/>
        <item x="264"/>
        <item x="292"/>
        <item x="271"/>
        <item x="272"/>
        <item x="273"/>
        <item x="274"/>
        <item x="276"/>
        <item x="277"/>
        <item x="278"/>
        <item x="279"/>
        <item x="291"/>
        <item x="280"/>
        <item x="281"/>
        <item x="282"/>
        <item x="283"/>
        <item x="284"/>
        <item x="285"/>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2">
    <i>
      <x/>
      <x/>
      <x v="3"/>
      <x v="47"/>
      <x v="1"/>
      <x/>
    </i>
    <i r="2">
      <x v="7"/>
      <x v="161"/>
      <x/>
      <x/>
    </i>
    <i r="2">
      <x v="35"/>
      <x v="134"/>
      <x v="6"/>
      <x/>
    </i>
    <i r="2">
      <x v="40"/>
      <x v="49"/>
      <x/>
      <x/>
    </i>
    <i r="2">
      <x v="64"/>
      <x v="46"/>
      <x v="3"/>
      <x/>
    </i>
    <i r="2">
      <x v="120"/>
      <x v="48"/>
      <x v="3"/>
      <x/>
    </i>
    <i r="2">
      <x v="139"/>
      <x v="51"/>
      <x v="1"/>
      <x/>
    </i>
    <i r="2">
      <x v="157"/>
      <x v="160"/>
      <x/>
      <x/>
    </i>
    <i r="2">
      <x v="165"/>
      <x v="44"/>
      <x/>
      <x/>
    </i>
    <i r="2">
      <x v="180"/>
      <x v="52"/>
      <x v="3"/>
      <x/>
    </i>
    <i r="2">
      <x v="199"/>
      <x v="50"/>
      <x v="3"/>
      <x/>
    </i>
    <i t="default" r="1">
      <x/>
    </i>
    <i r="1">
      <x v="1"/>
      <x v="21"/>
      <x v="39"/>
      <x v="3"/>
      <x/>
    </i>
    <i r="2">
      <x v="38"/>
      <x v="40"/>
      <x/>
      <x v="1"/>
    </i>
    <i r="2">
      <x v="61"/>
      <x v="162"/>
      <x v="3"/>
      <x/>
    </i>
    <i r="2">
      <x v="155"/>
      <x v="175"/>
      <x v="2"/>
      <x/>
    </i>
    <i r="2">
      <x v="204"/>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5"/>
      <x v="159"/>
      <x v="6"/>
      <x/>
    </i>
    <i r="2">
      <x v="140"/>
      <x v="97"/>
      <x v="2"/>
      <x/>
    </i>
    <i r="2">
      <x v="164"/>
      <x v="150"/>
      <x v="6"/>
      <x/>
    </i>
    <i r="2">
      <x v="194"/>
      <x v="152"/>
      <x/>
      <x/>
    </i>
    <i r="2">
      <x v="200"/>
      <x v="99"/>
      <x/>
      <x/>
    </i>
    <i r="2">
      <x v="212"/>
      <x v="224"/>
      <x/>
      <x/>
    </i>
    <i r="2">
      <x v="242"/>
      <x v="250"/>
      <x/>
      <x/>
    </i>
    <i r="2">
      <x v="244"/>
      <x v="252"/>
      <x v="6"/>
      <x/>
    </i>
    <i r="2">
      <x v="245"/>
      <x v="253"/>
      <x v="2"/>
      <x/>
    </i>
    <i r="2">
      <x v="268"/>
      <x v="276"/>
      <x/>
      <x/>
    </i>
    <i t="default" r="1">
      <x v="2"/>
    </i>
    <i r="1">
      <x v="8"/>
      <x v="18"/>
      <x v="119"/>
      <x v="1"/>
      <x v="1"/>
    </i>
    <i r="2">
      <x v="35"/>
      <x v="163"/>
      <x v="6"/>
      <x/>
    </i>
    <i r="2">
      <x v="56"/>
      <x v="118"/>
      <x v="1"/>
      <x v="1"/>
    </i>
    <i r="2">
      <x v="78"/>
      <x v="183"/>
      <x/>
      <x/>
    </i>
    <i r="2">
      <x v="86"/>
      <x v="122"/>
      <x/>
      <x/>
    </i>
    <i r="2">
      <x v="87"/>
      <x v="121"/>
      <x v="1"/>
      <x/>
    </i>
    <i r="2">
      <x v="88"/>
      <x v="123"/>
      <x v="6"/>
      <x/>
    </i>
    <i r="2">
      <x v="93"/>
      <x v="63"/>
      <x/>
      <x/>
    </i>
    <i r="2">
      <x v="203"/>
      <x v="214"/>
      <x v="1"/>
      <x/>
    </i>
    <i r="2">
      <x v="210"/>
      <x v="222"/>
      <x v="1"/>
      <x/>
    </i>
    <i r="2">
      <x v="214"/>
      <x v="225"/>
      <x/>
      <x/>
    </i>
    <i t="default" r="1">
      <x v="8"/>
    </i>
    <i r="1">
      <x v="10"/>
      <x v="52"/>
      <x v="74"/>
      <x/>
      <x/>
    </i>
    <i r="2">
      <x v="143"/>
      <x v="75"/>
      <x/>
      <x/>
    </i>
    <i r="2">
      <x v="228"/>
      <x v="233"/>
      <x/>
      <x/>
    </i>
    <i r="2">
      <x v="276"/>
      <x v="73"/>
      <x/>
      <x/>
    </i>
    <i r="2">
      <x v="284"/>
      <x v="287"/>
      <x v="6"/>
      <x/>
    </i>
    <i r="2">
      <x v="285"/>
      <x v="288"/>
      <x v="6"/>
      <x/>
    </i>
    <i r="2">
      <x v="286"/>
      <x v="289"/>
      <x v="6"/>
      <x/>
    </i>
    <i r="2">
      <x v="287"/>
      <x v="290"/>
      <x v="6"/>
      <x/>
    </i>
    <i t="default" r="1">
      <x v="10"/>
    </i>
    <i r="1">
      <x v="11"/>
      <x v="146"/>
      <x v="130"/>
      <x/>
      <x/>
    </i>
    <i r="2">
      <x v="177"/>
      <x v="76"/>
      <x v="2"/>
      <x/>
    </i>
    <i r="2">
      <x v="217"/>
      <x v="228"/>
      <x v="6"/>
      <x/>
    </i>
    <i r="2">
      <x v="218"/>
      <x v="229"/>
      <x v="6"/>
      <x/>
    </i>
    <i t="default" r="1">
      <x v="11"/>
    </i>
    <i r="1">
      <x v="12"/>
      <x v="24"/>
      <x v="116"/>
      <x v="2"/>
      <x v="1"/>
    </i>
    <i r="2">
      <x v="35"/>
      <x v="164"/>
      <x v="6"/>
      <x/>
    </i>
    <i r="2">
      <x v="39"/>
      <x v="115"/>
      <x v="2"/>
      <x v="1"/>
    </i>
    <i r="2">
      <x v="45"/>
      <x v="114"/>
      <x v="2"/>
      <x v="1"/>
    </i>
    <i r="2">
      <x v="47"/>
      <x v="167"/>
      <x v="6"/>
      <x/>
    </i>
    <i r="2">
      <x v="65"/>
      <x v="68"/>
      <x/>
      <x/>
    </i>
    <i r="2">
      <x v="66"/>
      <x v="66"/>
      <x v="1"/>
      <x/>
    </i>
    <i r="2">
      <x v="67"/>
      <x v="67"/>
      <x/>
      <x/>
    </i>
    <i r="2">
      <x v="80"/>
      <x v="59"/>
      <x v="1"/>
      <x/>
    </i>
    <i r="2">
      <x v="111"/>
      <x v="53"/>
      <x/>
      <x/>
    </i>
    <i r="2">
      <x v="122"/>
      <x v="58"/>
      <x v="6"/>
      <x/>
    </i>
    <i r="2">
      <x v="149"/>
      <x v="120"/>
      <x v="1"/>
      <x v="1"/>
    </i>
    <i r="2">
      <x v="152"/>
      <x v="69"/>
      <x/>
      <x/>
    </i>
    <i r="2">
      <x v="154"/>
      <x v="117"/>
      <x v="1"/>
      <x v="1"/>
    </i>
    <i r="2">
      <x v="169"/>
      <x v="70"/>
      <x/>
      <x/>
    </i>
    <i t="default" r="1">
      <x v="12"/>
    </i>
    <i r="1">
      <x v="14"/>
      <x v="43"/>
      <x v="15"/>
      <x/>
      <x/>
    </i>
    <i r="2">
      <x v="44"/>
      <x v="16"/>
      <x v="2"/>
      <x/>
    </i>
    <i r="2">
      <x v="51"/>
      <x v="10"/>
      <x/>
      <x/>
    </i>
    <i r="2">
      <x v="57"/>
      <x v="128"/>
      <x v="6"/>
      <x/>
    </i>
    <i r="2">
      <x v="59"/>
      <x v="12"/>
      <x/>
      <x/>
    </i>
    <i r="2">
      <x v="60"/>
      <x v="11"/>
      <x/>
      <x/>
    </i>
    <i r="2">
      <x v="79"/>
      <x v="13"/>
      <x/>
      <x/>
    </i>
    <i r="2">
      <x v="81"/>
      <x v="7"/>
      <x/>
      <x/>
    </i>
    <i r="2">
      <x v="102"/>
      <x v="17"/>
      <x v="3"/>
      <x/>
    </i>
    <i r="2">
      <x v="103"/>
      <x v="18"/>
      <x v="3"/>
      <x/>
    </i>
    <i r="2">
      <x v="138"/>
      <x v="21"/>
      <x v="2"/>
      <x/>
    </i>
    <i r="2">
      <x v="151"/>
      <x v="1"/>
      <x/>
      <x/>
    </i>
    <i r="2">
      <x v="153"/>
      <x v="133"/>
      <x v="2"/>
      <x/>
    </i>
    <i r="2">
      <x v="170"/>
      <x v="5"/>
      <x/>
      <x/>
    </i>
    <i r="2">
      <x v="171"/>
      <x v="6"/>
      <x v="3"/>
      <x/>
    </i>
    <i r="2">
      <x v="175"/>
      <x v="8"/>
      <x/>
      <x/>
    </i>
    <i r="2">
      <x v="183"/>
      <x/>
      <x/>
      <x/>
    </i>
    <i r="2">
      <x v="184"/>
      <x v="3"/>
      <x v="6"/>
      <x/>
    </i>
    <i r="2">
      <x v="185"/>
      <x v="2"/>
      <x/>
      <x/>
    </i>
    <i r="2">
      <x v="186"/>
      <x v="4"/>
      <x/>
      <x/>
    </i>
    <i r="2">
      <x v="223"/>
      <x v="20"/>
      <x v="3"/>
      <x/>
    </i>
    <i r="2">
      <x v="274"/>
      <x v="9"/>
      <x/>
      <x/>
    </i>
    <i r="2">
      <x v="275"/>
      <x v="283"/>
      <x v="6"/>
      <x/>
    </i>
    <i r="2">
      <x v="288"/>
      <x v="291"/>
      <x v="6"/>
      <x/>
    </i>
    <i r="2">
      <x v="289"/>
      <x v="292"/>
      <x v="6"/>
      <x/>
    </i>
    <i t="default" r="1">
      <x v="14"/>
    </i>
    <i r="1">
      <x v="17"/>
      <x v="190"/>
      <x v="72"/>
      <x v="6"/>
      <x/>
    </i>
    <i r="2">
      <x v="207"/>
      <x v="218"/>
      <x v="6"/>
      <x/>
    </i>
    <i r="2">
      <x v="225"/>
      <x v="231"/>
      <x/>
      <x/>
    </i>
    <i t="default" r="1">
      <x v="17"/>
    </i>
    <i r="1">
      <x v="18"/>
      <x v="173"/>
      <x v="64"/>
      <x/>
      <x/>
    </i>
    <i r="2">
      <x v="174"/>
      <x v="65"/>
      <x v="1"/>
      <x/>
    </i>
    <i t="default" r="1">
      <x v="18"/>
    </i>
    <i r="1">
      <x v="19"/>
      <x v="179"/>
      <x v="172"/>
      <x v="6"/>
      <x/>
    </i>
    <i r="2">
      <x v="230"/>
      <x v="235"/>
      <x/>
      <x v="1"/>
    </i>
    <i r="2">
      <x v="231"/>
      <x v="236"/>
      <x/>
      <x v="1"/>
    </i>
    <i t="default" r="1">
      <x v="19"/>
    </i>
    <i r="1">
      <x v="20"/>
      <x v="17"/>
      <x v="106"/>
      <x v="2"/>
      <x v="1"/>
    </i>
    <i r="2">
      <x v="30"/>
      <x v="25"/>
      <x v="3"/>
      <x/>
    </i>
    <i r="2">
      <x v="31"/>
      <x v="108"/>
      <x/>
      <x v="1"/>
    </i>
    <i r="2">
      <x v="41"/>
      <x v="173"/>
      <x v="6"/>
      <x v="1"/>
    </i>
    <i r="2">
      <x v="71"/>
      <x v="24"/>
      <x/>
      <x/>
    </i>
    <i r="2">
      <x v="72"/>
      <x v="112"/>
      <x v="2"/>
      <x v="1"/>
    </i>
    <i r="2">
      <x v="74"/>
      <x v="28"/>
      <x v="3"/>
      <x/>
    </i>
    <i r="2">
      <x v="75"/>
      <x v="26"/>
      <x v="2"/>
      <x/>
    </i>
    <i r="2">
      <x v="76"/>
      <x v="37"/>
      <x/>
      <x/>
    </i>
    <i r="2">
      <x v="77"/>
      <x v="36"/>
      <x/>
      <x/>
    </i>
    <i r="2">
      <x v="145"/>
      <x v="30"/>
      <x v="3"/>
      <x/>
    </i>
    <i r="2">
      <x v="159"/>
      <x v="132"/>
      <x v="2"/>
      <x v="1"/>
    </i>
    <i r="2">
      <x v="160"/>
      <x v="29"/>
      <x v="3"/>
      <x/>
    </i>
    <i r="2">
      <x v="161"/>
      <x v="22"/>
      <x/>
      <x/>
    </i>
    <i r="2">
      <x v="162"/>
      <x v="27"/>
      <x v="3"/>
      <x/>
    </i>
    <i r="2">
      <x v="163"/>
      <x v="23"/>
      <x v="3"/>
      <x/>
    </i>
    <i r="2">
      <x v="172"/>
      <x v="38"/>
      <x/>
      <x/>
    </i>
    <i r="2">
      <x v="187"/>
      <x v="34"/>
      <x v="3"/>
      <x/>
    </i>
    <i r="2">
      <x v="191"/>
      <x v="35"/>
      <x v="3"/>
      <x/>
    </i>
    <i r="2">
      <x v="195"/>
      <x v="109"/>
      <x v="2"/>
      <x v="1"/>
    </i>
    <i r="2">
      <x v="222"/>
      <x v="113"/>
      <x/>
      <x v="1"/>
    </i>
    <i r="2">
      <x v="266"/>
      <x v="274"/>
      <x v="6"/>
      <x/>
    </i>
    <i r="2">
      <x v="267"/>
      <x v="275"/>
      <x/>
      <x v="1"/>
    </i>
    <i r="2">
      <x v="280"/>
      <x v="285"/>
      <x v="6"/>
      <x/>
    </i>
    <i t="default" r="1">
      <x v="20"/>
    </i>
    <i r="1">
      <x v="22"/>
      <x v="270"/>
      <x v="279"/>
      <x v="6"/>
      <x/>
    </i>
    <i r="2">
      <x v="271"/>
      <x v="280"/>
      <x v="6"/>
      <x/>
    </i>
    <i r="2">
      <x v="272"/>
      <x v="281"/>
      <x v="6"/>
      <x/>
    </i>
    <i r="2">
      <x v="273"/>
      <x v="278"/>
      <x v="6"/>
      <x/>
    </i>
    <i t="default" r="1">
      <x v="22"/>
    </i>
    <i t="default">
      <x/>
    </i>
    <i>
      <x v="1"/>
      <x v="3"/>
      <x v="142"/>
      <x v="209"/>
      <x v="6"/>
      <x v="1"/>
    </i>
    <i r="2">
      <x v="226"/>
      <x v="230"/>
      <x/>
      <x/>
    </i>
    <i t="default" r="1">
      <x v="3"/>
    </i>
    <i r="1">
      <x v="6"/>
      <x v="49"/>
      <x v="201"/>
      <x/>
      <x/>
    </i>
    <i r="2">
      <x v="50"/>
      <x v="202"/>
      <x v="5"/>
      <x/>
    </i>
    <i r="2">
      <x v="117"/>
      <x v="193"/>
      <x/>
      <x/>
    </i>
    <i r="2">
      <x v="131"/>
      <x v="194"/>
      <x/>
      <x/>
    </i>
    <i r="2">
      <x v="202"/>
      <x v="205"/>
      <x/>
      <x/>
    </i>
    <i r="2">
      <x v="215"/>
      <x v="226"/>
      <x v="5"/>
      <x/>
    </i>
    <i r="2">
      <x v="233"/>
      <x v="238"/>
      <x v="6"/>
      <x/>
    </i>
    <i r="2">
      <x v="240"/>
      <x v="248"/>
      <x v="6"/>
      <x/>
    </i>
    <i r="2">
      <x v="263"/>
      <x v="271"/>
      <x/>
      <x/>
    </i>
    <i r="2">
      <x v="264"/>
      <x v="272"/>
      <x v="6"/>
      <x/>
    </i>
    <i r="2">
      <x v="279"/>
      <x v="286"/>
      <x v="6"/>
      <x/>
    </i>
    <i r="2">
      <x v="281"/>
      <x v="246"/>
      <x v="5"/>
      <x/>
    </i>
    <i r="2">
      <x v="282"/>
      <x v="203"/>
      <x/>
      <x/>
    </i>
    <i r="2">
      <x v="283"/>
      <x v="241"/>
      <x/>
      <x/>
    </i>
    <i t="default" r="1">
      <x v="6"/>
    </i>
    <i r="1">
      <x v="9"/>
      <x v="91"/>
      <x v="195"/>
      <x/>
      <x/>
    </i>
    <i r="2">
      <x v="92"/>
      <x v="210"/>
      <x v="5"/>
      <x/>
    </i>
    <i r="2">
      <x v="238"/>
      <x v="243"/>
      <x v="6"/>
      <x/>
    </i>
    <i t="default" r="1">
      <x v="9"/>
    </i>
    <i r="1">
      <x v="13"/>
      <x v="208"/>
      <x v="219"/>
      <x/>
      <x/>
    </i>
    <i r="2">
      <x v="211"/>
      <x v="223"/>
      <x v="5"/>
      <x/>
    </i>
    <i r="2">
      <x v="265"/>
      <x v="273"/>
      <x/>
      <x/>
    </i>
    <i t="default" r="1">
      <x v="13"/>
    </i>
    <i r="1">
      <x v="15"/>
      <x v="124"/>
      <x v="191"/>
      <x/>
      <x/>
    </i>
    <i r="2">
      <x v="125"/>
      <x v="188"/>
      <x/>
      <x/>
    </i>
    <i r="2">
      <x v="126"/>
      <x v="190"/>
      <x v="5"/>
      <x/>
    </i>
    <i r="2">
      <x v="209"/>
      <x v="220"/>
      <x/>
      <x/>
    </i>
    <i r="2">
      <x v="213"/>
      <x v="221"/>
      <x/>
      <x/>
    </i>
    <i r="2">
      <x v="236"/>
      <x v="245"/>
      <x v="6"/>
      <x/>
    </i>
    <i t="default" r="1">
      <x v="15"/>
    </i>
    <i r="1">
      <x v="16"/>
      <x v="136"/>
      <x v="199"/>
      <x/>
      <x/>
    </i>
    <i r="2">
      <x v="237"/>
      <x v="242"/>
      <x v="6"/>
      <x/>
    </i>
    <i r="2">
      <x v="250"/>
      <x v="258"/>
      <x v="5"/>
      <x/>
    </i>
    <i r="2">
      <x v="269"/>
      <x v="277"/>
      <x v="5"/>
      <x/>
    </i>
    <i t="default" r="1">
      <x v="16"/>
    </i>
    <i r="1">
      <x v="21"/>
      <x v="262"/>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4">
    <format dxfId="1123">
      <pivotArea outline="0" collapsedLevelsAreSubtotals="1" fieldPosition="0"/>
    </format>
    <format dxfId="1122">
      <pivotArea dataOnly="0" labelOnly="1" outline="0" fieldPosition="0">
        <references count="1">
          <reference field="4294967294" count="2">
            <x v="0"/>
            <x v="1"/>
          </reference>
        </references>
      </pivotArea>
    </format>
    <format dxfId="1121">
      <pivotArea grandRow="1" outline="0" collapsedLevelsAreSubtotals="1" fieldPosition="0"/>
    </format>
    <format dxfId="1120">
      <pivotArea dataOnly="0" labelOnly="1" grandRow="1" outline="0" fieldPosition="0"/>
    </format>
    <format dxfId="1119">
      <pivotArea grandRow="1" outline="0" collapsedLevelsAreSubtotals="1" fieldPosition="0"/>
    </format>
    <format dxfId="1118">
      <pivotArea dataOnly="0" labelOnly="1" grandRow="1" outline="0" fieldPosition="0"/>
    </format>
    <format dxfId="1117">
      <pivotArea field="24" type="button" dataOnly="0" labelOnly="1" outline="0" axis="axisRow" fieldPosition="4"/>
    </format>
    <format dxfId="1116">
      <pivotArea field="24" type="button" dataOnly="0" labelOnly="1" outline="0" axis="axisRow" fieldPosition="4"/>
    </format>
    <format dxfId="1115">
      <pivotArea field="1" type="button" dataOnly="0" labelOnly="1" outline="0" axis="axisRow" fieldPosition="0"/>
    </format>
    <format dxfId="1114">
      <pivotArea field="5" type="button" dataOnly="0" labelOnly="1" outline="0" axis="axisRow" fieldPosition="1"/>
    </format>
    <format dxfId="1113">
      <pivotArea field="11" type="button" dataOnly="0" labelOnly="1" outline="0" axis="axisRow" fieldPosition="2"/>
    </format>
    <format dxfId="1112">
      <pivotArea field="12" type="button" dataOnly="0" labelOnly="1" outline="0" axis="axisRow" fieldPosition="3"/>
    </format>
    <format dxfId="1111">
      <pivotArea field="22" type="button" dataOnly="0" labelOnly="1" outline="0"/>
    </format>
    <format dxfId="1110">
      <pivotArea dataOnly="0" labelOnly="1" outline="0" fieldPosition="0">
        <references count="1">
          <reference field="4294967294" count="2">
            <x v="0"/>
            <x v="1"/>
          </reference>
        </references>
      </pivotArea>
    </format>
    <format dxfId="1109">
      <pivotArea field="1" type="button" dataOnly="0" labelOnly="1" outline="0" axis="axisRow" fieldPosition="0"/>
    </format>
    <format dxfId="1108">
      <pivotArea field="5" type="button" dataOnly="0" labelOnly="1" outline="0" axis="axisRow" fieldPosition="1"/>
    </format>
    <format dxfId="1107">
      <pivotArea field="11" type="button" dataOnly="0" labelOnly="1" outline="0" axis="axisRow" fieldPosition="2"/>
    </format>
    <format dxfId="1106">
      <pivotArea field="12" type="button" dataOnly="0" labelOnly="1" outline="0" axis="axisRow" fieldPosition="3"/>
    </format>
    <format dxfId="1105">
      <pivotArea field="22" type="button" dataOnly="0" labelOnly="1" outline="0"/>
    </format>
    <format dxfId="1104">
      <pivotArea dataOnly="0" labelOnly="1" outline="0" fieldPosition="0">
        <references count="1">
          <reference field="4294967294" count="2">
            <x v="0"/>
            <x v="1"/>
          </reference>
        </references>
      </pivotArea>
    </format>
    <format dxfId="1103">
      <pivotArea dataOnly="0" labelOnly="1" outline="0" fieldPosition="0">
        <references count="3">
          <reference field="1" count="1" selected="0">
            <x v="0"/>
          </reference>
          <reference field="5" count="1" selected="0">
            <x v="0"/>
          </reference>
          <reference field="11" count="6">
            <x v="64"/>
            <x v="120"/>
            <x v="139"/>
            <x v="157"/>
            <x v="165"/>
            <x v="180"/>
          </reference>
        </references>
      </pivotArea>
    </format>
    <format dxfId="1102">
      <pivotArea dataOnly="0" labelOnly="1" outline="0" fieldPosition="0">
        <references count="3">
          <reference field="1" count="1" selected="0">
            <x v="0"/>
          </reference>
          <reference field="5" count="1" selected="0">
            <x v="14"/>
          </reference>
          <reference field="11" count="5">
            <x v="43"/>
            <x v="44"/>
            <x v="51"/>
            <x v="59"/>
            <x v="60"/>
          </reference>
        </references>
      </pivotArea>
    </format>
    <format dxfId="1101">
      <pivotArea dataOnly="0" labelOnly="1" outline="0" fieldPosition="0">
        <references count="3">
          <reference field="1" count="1" selected="0">
            <x v="0"/>
          </reference>
          <reference field="5" count="1" selected="0">
            <x v="20"/>
          </reference>
          <reference field="11" count="15">
            <x v="71"/>
            <x v="72"/>
            <x v="74"/>
            <x v="75"/>
            <x v="76"/>
            <x v="77"/>
            <x v="145"/>
            <x v="159"/>
            <x v="160"/>
            <x v="161"/>
            <x v="162"/>
            <x v="163"/>
            <x v="172"/>
            <x v="187"/>
            <x v="191"/>
          </reference>
        </references>
      </pivotArea>
    </format>
    <format dxfId="1100">
      <pivotArea field="1" type="button" dataOnly="0" labelOnly="1" outline="0" axis="axisRow" fieldPosition="0"/>
    </format>
    <format dxfId="1099">
      <pivotArea field="5" type="button" dataOnly="0" labelOnly="1" outline="0" axis="axisRow" fieldPosition="1"/>
    </format>
    <format dxfId="1098">
      <pivotArea field="11" type="button" dataOnly="0" labelOnly="1" outline="0" axis="axisRow" fieldPosition="2"/>
    </format>
    <format dxfId="1097">
      <pivotArea field="12" type="button" dataOnly="0" labelOnly="1" outline="0" axis="axisRow" fieldPosition="3"/>
    </format>
    <format dxfId="1096">
      <pivotArea field="19" type="button" dataOnly="0" labelOnly="1" outline="0" axis="axisRow" fieldPosition="5"/>
    </format>
    <format dxfId="1095">
      <pivotArea type="all" dataOnly="0" outline="0" fieldPosition="0"/>
    </format>
    <format dxfId="1094">
      <pivotArea type="all" dataOnly="0" outline="0" fieldPosition="0"/>
    </format>
    <format dxfId="1093">
      <pivotArea outline="0" collapsedLevelsAreSubtotals="1" fieldPosition="0"/>
    </format>
    <format dxfId="1092">
      <pivotArea dataOnly="0" labelOnly="1" outline="0" fieldPosition="0">
        <references count="1">
          <reference field="1" count="0"/>
        </references>
      </pivotArea>
    </format>
    <format dxfId="1091">
      <pivotArea dataOnly="0" labelOnly="1" outline="0" fieldPosition="0">
        <references count="1">
          <reference field="1" count="0" defaultSubtotal="1"/>
        </references>
      </pivotArea>
    </format>
    <format dxfId="1090">
      <pivotArea dataOnly="0" labelOnly="1" grandRow="1" outline="0" fieldPosition="0"/>
    </format>
    <format dxfId="1089">
      <pivotArea dataOnly="0" labelOnly="1" outline="0" fieldPosition="0">
        <references count="2">
          <reference field="1" count="1" selected="0">
            <x v="0"/>
          </reference>
          <reference field="5" count="13">
            <x v="0"/>
            <x v="1"/>
            <x v="2"/>
            <x v="5"/>
            <x v="8"/>
            <x v="10"/>
            <x v="11"/>
            <x v="12"/>
            <x v="14"/>
            <x v="17"/>
            <x v="18"/>
            <x v="19"/>
            <x v="20"/>
          </reference>
        </references>
      </pivotArea>
    </format>
    <format dxfId="1088">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87">
      <pivotArea dataOnly="0" labelOnly="1" outline="0" fieldPosition="0">
        <references count="2">
          <reference field="1" count="1" selected="0">
            <x v="1"/>
          </reference>
          <reference field="5" count="6">
            <x v="3"/>
            <x v="6"/>
            <x v="9"/>
            <x v="13"/>
            <x v="15"/>
            <x v="16"/>
          </reference>
        </references>
      </pivotArea>
    </format>
    <format dxfId="1086">
      <pivotArea dataOnly="0" labelOnly="1" outline="0" fieldPosition="0">
        <references count="2">
          <reference field="1" count="1" selected="0">
            <x v="1"/>
          </reference>
          <reference field="5" count="6" defaultSubtotal="1">
            <x v="3"/>
            <x v="6"/>
            <x v="9"/>
            <x v="13"/>
            <x v="15"/>
            <x v="16"/>
          </reference>
        </references>
      </pivotArea>
    </format>
    <format dxfId="1085">
      <pivotArea dataOnly="0" labelOnly="1" outline="0" fieldPosition="0">
        <references count="3">
          <reference field="1" count="1" selected="0">
            <x v="0"/>
          </reference>
          <reference field="5" count="1" selected="0">
            <x v="0"/>
          </reference>
          <reference field="11" count="11">
            <x v="3"/>
            <x v="7"/>
            <x v="35"/>
            <x v="40"/>
            <x v="64"/>
            <x v="120"/>
            <x v="139"/>
            <x v="157"/>
            <x v="165"/>
            <x v="180"/>
            <x v="199"/>
          </reference>
        </references>
      </pivotArea>
    </format>
    <format dxfId="1084">
      <pivotArea dataOnly="0" labelOnly="1" outline="0" fieldPosition="0">
        <references count="3">
          <reference field="1" count="1" selected="0">
            <x v="0"/>
          </reference>
          <reference field="5" count="1" selected="0">
            <x v="1"/>
          </reference>
          <reference field="11" count="6">
            <x v="21"/>
            <x v="38"/>
            <x v="55"/>
            <x v="61"/>
            <x v="155"/>
            <x v="204"/>
          </reference>
        </references>
      </pivotArea>
    </format>
    <format dxfId="1083">
      <pivotArea dataOnly="0" labelOnly="1" outline="0" fieldPosition="0">
        <references count="3">
          <reference field="1" count="1" selected="0">
            <x v="0"/>
          </reference>
          <reference field="5" count="1" selected="0">
            <x v="2"/>
          </reference>
          <reference field="11" count="26">
            <x v="1"/>
            <x v="2"/>
            <x v="4"/>
            <x v="5"/>
            <x v="13"/>
            <x v="19"/>
            <x v="23"/>
            <x v="32"/>
            <x v="33"/>
            <x v="62"/>
            <x v="63"/>
            <x v="108"/>
            <x v="135"/>
            <x v="140"/>
            <x v="164"/>
            <x v="167"/>
            <x v="194"/>
            <x v="200"/>
            <x v="212"/>
            <x v="216"/>
            <x v="234"/>
            <x v="241"/>
            <x v="242"/>
            <x v="243"/>
            <x v="244"/>
            <x v="245"/>
          </reference>
        </references>
      </pivotArea>
    </format>
    <format dxfId="1082">
      <pivotArea dataOnly="0" labelOnly="1" outline="0" fieldPosition="0">
        <references count="3">
          <reference field="1" count="1" selected="0">
            <x v="0"/>
          </reference>
          <reference field="5" count="1" selected="0">
            <x v="5"/>
          </reference>
          <reference field="11" count="1">
            <x v="53"/>
          </reference>
        </references>
      </pivotArea>
    </format>
    <format dxfId="1081">
      <pivotArea dataOnly="0" labelOnly="1" outline="0" fieldPosition="0">
        <references count="3">
          <reference field="1" count="1" selected="0">
            <x v="0"/>
          </reference>
          <reference field="5" count="1" selected="0">
            <x v="8"/>
          </reference>
          <reference field="11" count="11">
            <x v="18"/>
            <x v="35"/>
            <x v="56"/>
            <x v="78"/>
            <x v="86"/>
            <x v="87"/>
            <x v="88"/>
            <x v="93"/>
            <x v="203"/>
            <x v="210"/>
            <x v="214"/>
          </reference>
        </references>
      </pivotArea>
    </format>
    <format dxfId="1080">
      <pivotArea dataOnly="0" labelOnly="1" outline="0" fieldPosition="0">
        <references count="3">
          <reference field="1" count="1" selected="0">
            <x v="0"/>
          </reference>
          <reference field="5" count="1" selected="0">
            <x v="10"/>
          </reference>
          <reference field="11" count="5">
            <x v="52"/>
            <x v="143"/>
            <x v="227"/>
            <x v="228"/>
            <x v="229"/>
          </reference>
        </references>
      </pivotArea>
    </format>
    <format dxfId="1079">
      <pivotArea dataOnly="0" labelOnly="1" outline="0" fieldPosition="0">
        <references count="3">
          <reference field="1" count="1" selected="0">
            <x v="0"/>
          </reference>
          <reference field="5" count="1" selected="0">
            <x v="11"/>
          </reference>
          <reference field="11" count="4">
            <x v="146"/>
            <x v="177"/>
            <x v="217"/>
            <x v="218"/>
          </reference>
        </references>
      </pivotArea>
    </format>
    <format dxfId="1078">
      <pivotArea dataOnly="0" labelOnly="1" outline="0" fieldPosition="0">
        <references count="3">
          <reference field="1" count="1" selected="0">
            <x v="0"/>
          </reference>
          <reference field="5" count="1" selected="0">
            <x v="12"/>
          </reference>
          <reference field="11" count="20">
            <x v="24"/>
            <x v="35"/>
            <x v="39"/>
            <x v="47"/>
            <x v="65"/>
            <x v="66"/>
            <x v="67"/>
            <x v="73"/>
            <x v="80"/>
            <x v="84"/>
            <x v="85"/>
            <x v="111"/>
            <x v="122"/>
            <x v="149"/>
            <x v="152"/>
            <x v="154"/>
            <x v="158"/>
            <x v="169"/>
            <x v="182"/>
            <x v="232"/>
          </reference>
        </references>
      </pivotArea>
    </format>
    <format dxfId="1077">
      <pivotArea dataOnly="0" labelOnly="1" outline="0" fieldPosition="0">
        <references count="3">
          <reference field="1" count="1" selected="0">
            <x v="0"/>
          </reference>
          <reference field="5" count="1" selected="0">
            <x v="14"/>
          </reference>
          <reference field="11" count="21">
            <x v="43"/>
            <x v="44"/>
            <x v="51"/>
            <x v="59"/>
            <x v="60"/>
            <x v="79"/>
            <x v="81"/>
            <x v="102"/>
            <x v="103"/>
            <x v="138"/>
            <x v="151"/>
            <x v="153"/>
            <x v="170"/>
            <x v="171"/>
            <x v="175"/>
            <x v="183"/>
            <x v="184"/>
            <x v="185"/>
            <x v="186"/>
            <x v="198"/>
            <x v="223"/>
          </reference>
        </references>
      </pivotArea>
    </format>
    <format dxfId="1076">
      <pivotArea dataOnly="0" labelOnly="1" outline="0" fieldPosition="0">
        <references count="3">
          <reference field="1" count="1" selected="0">
            <x v="0"/>
          </reference>
          <reference field="5" count="1" selected="0">
            <x v="17"/>
          </reference>
          <reference field="11" count="3">
            <x v="190"/>
            <x v="207"/>
            <x v="225"/>
          </reference>
        </references>
      </pivotArea>
    </format>
    <format dxfId="1075">
      <pivotArea dataOnly="0" labelOnly="1" outline="0" fieldPosition="0">
        <references count="3">
          <reference field="1" count="1" selected="0">
            <x v="0"/>
          </reference>
          <reference field="5" count="1" selected="0">
            <x v="18"/>
          </reference>
          <reference field="11" count="4">
            <x v="35"/>
            <x v="57"/>
            <x v="173"/>
            <x v="174"/>
          </reference>
        </references>
      </pivotArea>
    </format>
    <format dxfId="1074">
      <pivotArea dataOnly="0" labelOnly="1" outline="0" fieldPosition="0">
        <references count="3">
          <reference field="1" count="1" selected="0">
            <x v="0"/>
          </reference>
          <reference field="5" count="1" selected="0">
            <x v="19"/>
          </reference>
          <reference field="11" count="3">
            <x v="179"/>
            <x v="230"/>
            <x v="231"/>
          </reference>
        </references>
      </pivotArea>
    </format>
    <format dxfId="1073">
      <pivotArea dataOnly="0" labelOnly="1" outline="0" fieldPosition="0">
        <references count="3">
          <reference field="1" count="1" selected="0">
            <x v="0"/>
          </reference>
          <reference field="5" count="1" selected="0">
            <x v="20"/>
          </reference>
          <reference field="11" count="23">
            <x v="17"/>
            <x v="30"/>
            <x v="31"/>
            <x v="41"/>
            <x v="45"/>
            <x v="71"/>
            <x v="72"/>
            <x v="74"/>
            <x v="75"/>
            <x v="76"/>
            <x v="77"/>
            <x v="145"/>
            <x v="159"/>
            <x v="160"/>
            <x v="161"/>
            <x v="162"/>
            <x v="163"/>
            <x v="172"/>
            <x v="187"/>
            <x v="191"/>
            <x v="195"/>
            <x v="222"/>
            <x v="224"/>
          </reference>
        </references>
      </pivotArea>
    </format>
    <format dxfId="1072">
      <pivotArea dataOnly="0" labelOnly="1" outline="0" fieldPosition="0">
        <references count="3">
          <reference field="1" count="1" selected="0">
            <x v="1"/>
          </reference>
          <reference field="5" count="1" selected="0">
            <x v="3"/>
          </reference>
          <reference field="11" count="3">
            <x v="142"/>
            <x v="226"/>
            <x v="239"/>
          </reference>
        </references>
      </pivotArea>
    </format>
    <format dxfId="1071">
      <pivotArea dataOnly="0" labelOnly="1" outline="0" fieldPosition="0">
        <references count="3">
          <reference field="1" count="1" selected="0">
            <x v="1"/>
          </reference>
          <reference field="5" count="1" selected="0">
            <x v="6"/>
          </reference>
          <reference field="11" count="9">
            <x v="48"/>
            <x v="49"/>
            <x v="50"/>
            <x v="117"/>
            <x v="131"/>
            <x v="202"/>
            <x v="215"/>
            <x v="233"/>
            <x v="240"/>
          </reference>
        </references>
      </pivotArea>
    </format>
    <format dxfId="1070">
      <pivotArea dataOnly="0" labelOnly="1" outline="0" fieldPosition="0">
        <references count="3">
          <reference field="1" count="1" selected="0">
            <x v="1"/>
          </reference>
          <reference field="5" count="1" selected="0">
            <x v="9"/>
          </reference>
          <reference field="11" count="3">
            <x v="91"/>
            <x v="92"/>
            <x v="238"/>
          </reference>
        </references>
      </pivotArea>
    </format>
    <format dxfId="1069">
      <pivotArea dataOnly="0" labelOnly="1" outline="0" fieldPosition="0">
        <references count="3">
          <reference field="1" count="1" selected="0">
            <x v="1"/>
          </reference>
          <reference field="5" count="1" selected="0">
            <x v="13"/>
          </reference>
          <reference field="11" count="6">
            <x v="36"/>
            <x v="37"/>
            <x v="114"/>
            <x v="130"/>
            <x v="208"/>
            <x v="211"/>
          </reference>
        </references>
      </pivotArea>
    </format>
    <format dxfId="1068">
      <pivotArea dataOnly="0" labelOnly="1" outline="0" fieldPosition="0">
        <references count="3">
          <reference field="1" count="1" selected="0">
            <x v="1"/>
          </reference>
          <reference field="5" count="1" selected="0">
            <x v="15"/>
          </reference>
          <reference field="11" count="7">
            <x v="124"/>
            <x v="125"/>
            <x v="126"/>
            <x v="209"/>
            <x v="213"/>
            <x v="235"/>
            <x v="236"/>
          </reference>
        </references>
      </pivotArea>
    </format>
    <format dxfId="1067">
      <pivotArea dataOnly="0" labelOnly="1" outline="0" fieldPosition="0">
        <references count="3">
          <reference field="1" count="1" selected="0">
            <x v="1"/>
          </reference>
          <reference field="5" count="1" selected="0">
            <x v="16"/>
          </reference>
          <reference field="11" count="3">
            <x v="136"/>
            <x v="137"/>
            <x v="237"/>
          </reference>
        </references>
      </pivotArea>
    </format>
    <format dxfId="1066">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65">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64">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63">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62">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61">
      <pivotArea dataOnly="0" labelOnly="1" outline="0" fieldPosition="0">
        <references count="4">
          <reference field="1" count="1" selected="0">
            <x v="0"/>
          </reference>
          <reference field="5" count="1" selected="0">
            <x v="0"/>
          </reference>
          <reference field="11" count="1" selected="0">
            <x v="120"/>
          </reference>
          <reference field="12" count="1">
            <x v="48"/>
          </reference>
        </references>
      </pivotArea>
    </format>
    <format dxfId="1060">
      <pivotArea dataOnly="0" labelOnly="1" outline="0" fieldPosition="0">
        <references count="4">
          <reference field="1" count="1" selected="0">
            <x v="0"/>
          </reference>
          <reference field="5" count="1" selected="0">
            <x v="0"/>
          </reference>
          <reference field="11" count="1" selected="0">
            <x v="139"/>
          </reference>
          <reference field="12" count="1">
            <x v="51"/>
          </reference>
        </references>
      </pivotArea>
    </format>
    <format dxfId="1059">
      <pivotArea dataOnly="0" labelOnly="1" outline="0" fieldPosition="0">
        <references count="4">
          <reference field="1" count="1" selected="0">
            <x v="0"/>
          </reference>
          <reference field="5" count="1" selected="0">
            <x v="0"/>
          </reference>
          <reference field="11" count="1" selected="0">
            <x v="157"/>
          </reference>
          <reference field="12" count="1">
            <x v="160"/>
          </reference>
        </references>
      </pivotArea>
    </format>
    <format dxfId="1058">
      <pivotArea dataOnly="0" labelOnly="1" outline="0" fieldPosition="0">
        <references count="4">
          <reference field="1" count="1" selected="0">
            <x v="0"/>
          </reference>
          <reference field="5" count="1" selected="0">
            <x v="0"/>
          </reference>
          <reference field="11" count="1" selected="0">
            <x v="165"/>
          </reference>
          <reference field="12" count="1">
            <x v="44"/>
          </reference>
        </references>
      </pivotArea>
    </format>
    <format dxfId="1057">
      <pivotArea dataOnly="0" labelOnly="1" outline="0" fieldPosition="0">
        <references count="4">
          <reference field="1" count="1" selected="0">
            <x v="0"/>
          </reference>
          <reference field="5" count="1" selected="0">
            <x v="0"/>
          </reference>
          <reference field="11" count="1" selected="0">
            <x v="180"/>
          </reference>
          <reference field="12" count="1">
            <x v="52"/>
          </reference>
        </references>
      </pivotArea>
    </format>
    <format dxfId="1056">
      <pivotArea dataOnly="0" labelOnly="1" outline="0" fieldPosition="0">
        <references count="4">
          <reference field="1" count="1" selected="0">
            <x v="0"/>
          </reference>
          <reference field="5" count="1" selected="0">
            <x v="0"/>
          </reference>
          <reference field="11" count="1" selected="0">
            <x v="199"/>
          </reference>
          <reference field="12" count="1">
            <x v="50"/>
          </reference>
        </references>
      </pivotArea>
    </format>
    <format dxfId="1055">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54">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53">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52">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51">
      <pivotArea dataOnly="0" labelOnly="1" outline="0" fieldPosition="0">
        <references count="4">
          <reference field="1" count="1" selected="0">
            <x v="0"/>
          </reference>
          <reference field="5" count="1" selected="0">
            <x v="1"/>
          </reference>
          <reference field="11" count="1" selected="0">
            <x v="155"/>
          </reference>
          <reference field="12" count="1">
            <x v="175"/>
          </reference>
        </references>
      </pivotArea>
    </format>
    <format dxfId="1050">
      <pivotArea dataOnly="0" labelOnly="1" outline="0" fieldPosition="0">
        <references count="4">
          <reference field="1" count="1" selected="0">
            <x v="0"/>
          </reference>
          <reference field="5" count="1" selected="0">
            <x v="1"/>
          </reference>
          <reference field="11" count="1" selected="0">
            <x v="204"/>
          </reference>
          <reference field="12" count="1">
            <x v="216"/>
          </reference>
        </references>
      </pivotArea>
    </format>
    <format dxfId="1049">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48">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47">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46">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45">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44">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43">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42">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41">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40">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39">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38">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37">
      <pivotArea dataOnly="0" labelOnly="1" outline="0" fieldPosition="0">
        <references count="4">
          <reference field="1" count="1" selected="0">
            <x v="0"/>
          </reference>
          <reference field="5" count="1" selected="0">
            <x v="2"/>
          </reference>
          <reference field="11" count="1" selected="0">
            <x v="135"/>
          </reference>
          <reference field="12" count="1">
            <x v="159"/>
          </reference>
        </references>
      </pivotArea>
    </format>
    <format dxfId="1036">
      <pivotArea dataOnly="0" labelOnly="1" outline="0" fieldPosition="0">
        <references count="4">
          <reference field="1" count="1" selected="0">
            <x v="0"/>
          </reference>
          <reference field="5" count="1" selected="0">
            <x v="2"/>
          </reference>
          <reference field="11" count="1" selected="0">
            <x v="140"/>
          </reference>
          <reference field="12" count="1">
            <x v="97"/>
          </reference>
        </references>
      </pivotArea>
    </format>
    <format dxfId="1035">
      <pivotArea dataOnly="0" labelOnly="1" outline="0" fieldPosition="0">
        <references count="4">
          <reference field="1" count="1" selected="0">
            <x v="0"/>
          </reference>
          <reference field="5" count="1" selected="0">
            <x v="2"/>
          </reference>
          <reference field="11" count="1" selected="0">
            <x v="164"/>
          </reference>
          <reference field="12" count="1">
            <x v="150"/>
          </reference>
        </references>
      </pivotArea>
    </format>
    <format dxfId="1034">
      <pivotArea dataOnly="0" labelOnly="1" outline="0" fieldPosition="0">
        <references count="4">
          <reference field="1" count="1" selected="0">
            <x v="0"/>
          </reference>
          <reference field="5" count="1" selected="0">
            <x v="2"/>
          </reference>
          <reference field="11" count="1" selected="0">
            <x v="167"/>
          </reference>
          <reference field="12" count="1">
            <x v="151"/>
          </reference>
        </references>
      </pivotArea>
    </format>
    <format dxfId="1033">
      <pivotArea dataOnly="0" labelOnly="1" outline="0" fieldPosition="0">
        <references count="4">
          <reference field="1" count="1" selected="0">
            <x v="0"/>
          </reference>
          <reference field="5" count="1" selected="0">
            <x v="2"/>
          </reference>
          <reference field="11" count="1" selected="0">
            <x v="194"/>
          </reference>
          <reference field="12" count="1">
            <x v="152"/>
          </reference>
        </references>
      </pivotArea>
    </format>
    <format dxfId="1032">
      <pivotArea dataOnly="0" labelOnly="1" outline="0" fieldPosition="0">
        <references count="4">
          <reference field="1" count="1" selected="0">
            <x v="0"/>
          </reference>
          <reference field="5" count="1" selected="0">
            <x v="2"/>
          </reference>
          <reference field="11" count="1" selected="0">
            <x v="200"/>
          </reference>
          <reference field="12" count="1">
            <x v="99"/>
          </reference>
        </references>
      </pivotArea>
    </format>
    <format dxfId="1031">
      <pivotArea dataOnly="0" labelOnly="1" outline="0" fieldPosition="0">
        <references count="4">
          <reference field="1" count="1" selected="0">
            <x v="0"/>
          </reference>
          <reference field="5" count="1" selected="0">
            <x v="2"/>
          </reference>
          <reference field="11" count="1" selected="0">
            <x v="212"/>
          </reference>
          <reference field="12" count="1">
            <x v="224"/>
          </reference>
        </references>
      </pivotArea>
    </format>
    <format dxfId="1030">
      <pivotArea dataOnly="0" labelOnly="1" outline="0" fieldPosition="0">
        <references count="4">
          <reference field="1" count="1" selected="0">
            <x v="0"/>
          </reference>
          <reference field="5" count="1" selected="0">
            <x v="2"/>
          </reference>
          <reference field="11" count="1" selected="0">
            <x v="216"/>
          </reference>
          <reference field="12" count="1">
            <x v="227"/>
          </reference>
        </references>
      </pivotArea>
    </format>
    <format dxfId="1029">
      <pivotArea dataOnly="0" labelOnly="1" outline="0" fieldPosition="0">
        <references count="4">
          <reference field="1" count="1" selected="0">
            <x v="0"/>
          </reference>
          <reference field="5" count="1" selected="0">
            <x v="2"/>
          </reference>
          <reference field="11" count="1" selected="0">
            <x v="234"/>
          </reference>
          <reference field="12" count="1">
            <x v="239"/>
          </reference>
        </references>
      </pivotArea>
    </format>
    <format dxfId="1028">
      <pivotArea dataOnly="0" labelOnly="1" outline="0" fieldPosition="0">
        <references count="4">
          <reference field="1" count="1" selected="0">
            <x v="0"/>
          </reference>
          <reference field="5" count="1" selected="0">
            <x v="2"/>
          </reference>
          <reference field="11" count="1" selected="0">
            <x v="241"/>
          </reference>
          <reference field="12" count="1">
            <x v="249"/>
          </reference>
        </references>
      </pivotArea>
    </format>
    <format dxfId="1027">
      <pivotArea dataOnly="0" labelOnly="1" outline="0" fieldPosition="0">
        <references count="4">
          <reference field="1" count="1" selected="0">
            <x v="0"/>
          </reference>
          <reference field="5" count="1" selected="0">
            <x v="2"/>
          </reference>
          <reference field="11" count="1" selected="0">
            <x v="242"/>
          </reference>
          <reference field="12" count="1">
            <x v="250"/>
          </reference>
        </references>
      </pivotArea>
    </format>
    <format dxfId="1026">
      <pivotArea dataOnly="0" labelOnly="1" outline="0" fieldPosition="0">
        <references count="4">
          <reference field="1" count="1" selected="0">
            <x v="0"/>
          </reference>
          <reference field="5" count="1" selected="0">
            <x v="2"/>
          </reference>
          <reference field="11" count="1" selected="0">
            <x v="243"/>
          </reference>
          <reference field="12" count="1">
            <x v="251"/>
          </reference>
        </references>
      </pivotArea>
    </format>
    <format dxfId="1025">
      <pivotArea dataOnly="0" labelOnly="1" outline="0" fieldPosition="0">
        <references count="4">
          <reference field="1" count="1" selected="0">
            <x v="0"/>
          </reference>
          <reference field="5" count="1" selected="0">
            <x v="2"/>
          </reference>
          <reference field="11" count="1" selected="0">
            <x v="244"/>
          </reference>
          <reference field="12" count="1">
            <x v="252"/>
          </reference>
        </references>
      </pivotArea>
    </format>
    <format dxfId="1024">
      <pivotArea dataOnly="0" labelOnly="1" outline="0" fieldPosition="0">
        <references count="4">
          <reference field="1" count="1" selected="0">
            <x v="0"/>
          </reference>
          <reference field="5" count="1" selected="0">
            <x v="2"/>
          </reference>
          <reference field="11" count="1" selected="0">
            <x v="245"/>
          </reference>
          <reference field="12" count="1">
            <x v="253"/>
          </reference>
        </references>
      </pivotArea>
    </format>
    <format dxfId="1023">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22">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21">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20">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19">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18">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17">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16">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15">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14">
      <pivotArea dataOnly="0" labelOnly="1" outline="0" fieldPosition="0">
        <references count="4">
          <reference field="1" count="1" selected="0">
            <x v="0"/>
          </reference>
          <reference field="5" count="1" selected="0">
            <x v="8"/>
          </reference>
          <reference field="11" count="1" selected="0">
            <x v="203"/>
          </reference>
          <reference field="12" count="1">
            <x v="214"/>
          </reference>
        </references>
      </pivotArea>
    </format>
    <format dxfId="1013">
      <pivotArea dataOnly="0" labelOnly="1" outline="0" fieldPosition="0">
        <references count="4">
          <reference field="1" count="1" selected="0">
            <x v="0"/>
          </reference>
          <reference field="5" count="1" selected="0">
            <x v="8"/>
          </reference>
          <reference field="11" count="1" selected="0">
            <x v="210"/>
          </reference>
          <reference field="12" count="1">
            <x v="222"/>
          </reference>
        </references>
      </pivotArea>
    </format>
    <format dxfId="1012">
      <pivotArea dataOnly="0" labelOnly="1" outline="0" fieldPosition="0">
        <references count="4">
          <reference field="1" count="1" selected="0">
            <x v="0"/>
          </reference>
          <reference field="5" count="1" selected="0">
            <x v="8"/>
          </reference>
          <reference field="11" count="1" selected="0">
            <x v="214"/>
          </reference>
          <reference field="12" count="1">
            <x v="225"/>
          </reference>
        </references>
      </pivotArea>
    </format>
    <format dxfId="1011">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10">
      <pivotArea dataOnly="0" labelOnly="1" outline="0" fieldPosition="0">
        <references count="4">
          <reference field="1" count="1" selected="0">
            <x v="0"/>
          </reference>
          <reference field="5" count="1" selected="0">
            <x v="10"/>
          </reference>
          <reference field="11" count="1" selected="0">
            <x v="143"/>
          </reference>
          <reference field="12" count="1">
            <x v="75"/>
          </reference>
        </references>
      </pivotArea>
    </format>
    <format dxfId="1009">
      <pivotArea dataOnly="0" labelOnly="1" outline="0" fieldPosition="0">
        <references count="4">
          <reference field="1" count="1" selected="0">
            <x v="0"/>
          </reference>
          <reference field="5" count="1" selected="0">
            <x v="10"/>
          </reference>
          <reference field="11" count="1" selected="0">
            <x v="227"/>
          </reference>
          <reference field="12" count="1">
            <x v="232"/>
          </reference>
        </references>
      </pivotArea>
    </format>
    <format dxfId="1008">
      <pivotArea dataOnly="0" labelOnly="1" outline="0" fieldPosition="0">
        <references count="4">
          <reference field="1" count="1" selected="0">
            <x v="0"/>
          </reference>
          <reference field="5" count="1" selected="0">
            <x v="10"/>
          </reference>
          <reference field="11" count="1" selected="0">
            <x v="228"/>
          </reference>
          <reference field="12" count="1">
            <x v="233"/>
          </reference>
        </references>
      </pivotArea>
    </format>
    <format dxfId="1007">
      <pivotArea dataOnly="0" labelOnly="1" outline="0" fieldPosition="0">
        <references count="4">
          <reference field="1" count="1" selected="0">
            <x v="0"/>
          </reference>
          <reference field="5" count="1" selected="0">
            <x v="10"/>
          </reference>
          <reference field="11" count="1" selected="0">
            <x v="229"/>
          </reference>
          <reference field="12" count="1">
            <x v="234"/>
          </reference>
        </references>
      </pivotArea>
    </format>
    <format dxfId="1006">
      <pivotArea dataOnly="0" labelOnly="1" outline="0" fieldPosition="0">
        <references count="4">
          <reference field="1" count="1" selected="0">
            <x v="0"/>
          </reference>
          <reference field="5" count="1" selected="0">
            <x v="11"/>
          </reference>
          <reference field="11" count="1" selected="0">
            <x v="146"/>
          </reference>
          <reference field="12" count="1">
            <x v="130"/>
          </reference>
        </references>
      </pivotArea>
    </format>
    <format dxfId="1005">
      <pivotArea dataOnly="0" labelOnly="1" outline="0" fieldPosition="0">
        <references count="4">
          <reference field="1" count="1" selected="0">
            <x v="0"/>
          </reference>
          <reference field="5" count="1" selected="0">
            <x v="11"/>
          </reference>
          <reference field="11" count="1" selected="0">
            <x v="177"/>
          </reference>
          <reference field="12" count="1">
            <x v="76"/>
          </reference>
        </references>
      </pivotArea>
    </format>
    <format dxfId="1004">
      <pivotArea dataOnly="0" labelOnly="1" outline="0" fieldPosition="0">
        <references count="4">
          <reference field="1" count="1" selected="0">
            <x v="0"/>
          </reference>
          <reference field="5" count="1" selected="0">
            <x v="11"/>
          </reference>
          <reference field="11" count="1" selected="0">
            <x v="217"/>
          </reference>
          <reference field="12" count="1">
            <x v="228"/>
          </reference>
        </references>
      </pivotArea>
    </format>
    <format dxfId="1003">
      <pivotArea dataOnly="0" labelOnly="1" outline="0" fieldPosition="0">
        <references count="4">
          <reference field="1" count="1" selected="0">
            <x v="0"/>
          </reference>
          <reference field="5" count="1" selected="0">
            <x v="11"/>
          </reference>
          <reference field="11" count="1" selected="0">
            <x v="218"/>
          </reference>
          <reference field="12" count="1">
            <x v="229"/>
          </reference>
        </references>
      </pivotArea>
    </format>
    <format dxfId="1002">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01">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1000">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999">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998">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997">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996">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995">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994">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993">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992">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991">
      <pivotArea dataOnly="0" labelOnly="1" outline="0" fieldPosition="0">
        <references count="4">
          <reference field="1" count="1" selected="0">
            <x v="0"/>
          </reference>
          <reference field="5" count="1" selected="0">
            <x v="12"/>
          </reference>
          <reference field="11" count="1" selected="0">
            <x v="111"/>
          </reference>
          <reference field="12" count="1">
            <x v="53"/>
          </reference>
        </references>
      </pivotArea>
    </format>
    <format dxfId="990">
      <pivotArea dataOnly="0" labelOnly="1" outline="0" fieldPosition="0">
        <references count="4">
          <reference field="1" count="1" selected="0">
            <x v="0"/>
          </reference>
          <reference field="5" count="1" selected="0">
            <x v="12"/>
          </reference>
          <reference field="11" count="1" selected="0">
            <x v="122"/>
          </reference>
          <reference field="12" count="1">
            <x v="58"/>
          </reference>
        </references>
      </pivotArea>
    </format>
    <format dxfId="989">
      <pivotArea dataOnly="0" labelOnly="1" outline="0" fieldPosition="0">
        <references count="4">
          <reference field="1" count="1" selected="0">
            <x v="0"/>
          </reference>
          <reference field="5" count="1" selected="0">
            <x v="12"/>
          </reference>
          <reference field="11" count="1" selected="0">
            <x v="149"/>
          </reference>
          <reference field="12" count="1">
            <x v="120"/>
          </reference>
        </references>
      </pivotArea>
    </format>
    <format dxfId="988">
      <pivotArea dataOnly="0" labelOnly="1" outline="0" fieldPosition="0">
        <references count="4">
          <reference field="1" count="1" selected="0">
            <x v="0"/>
          </reference>
          <reference field="5" count="1" selected="0">
            <x v="12"/>
          </reference>
          <reference field="11" count="1" selected="0">
            <x v="152"/>
          </reference>
          <reference field="12" count="1">
            <x v="69"/>
          </reference>
        </references>
      </pivotArea>
    </format>
    <format dxfId="987">
      <pivotArea dataOnly="0" labelOnly="1" outline="0" fieldPosition="0">
        <references count="4">
          <reference field="1" count="1" selected="0">
            <x v="0"/>
          </reference>
          <reference field="5" count="1" selected="0">
            <x v="12"/>
          </reference>
          <reference field="11" count="1" selected="0">
            <x v="154"/>
          </reference>
          <reference field="12" count="1">
            <x v="117"/>
          </reference>
        </references>
      </pivotArea>
    </format>
    <format dxfId="986">
      <pivotArea dataOnly="0" labelOnly="1" outline="0" fieldPosition="0">
        <references count="4">
          <reference field="1" count="1" selected="0">
            <x v="0"/>
          </reference>
          <reference field="5" count="1" selected="0">
            <x v="12"/>
          </reference>
          <reference field="11" count="1" selected="0">
            <x v="158"/>
          </reference>
          <reference field="12" count="1">
            <x v="62"/>
          </reference>
        </references>
      </pivotArea>
    </format>
    <format dxfId="985">
      <pivotArea dataOnly="0" labelOnly="1" outline="0" fieldPosition="0">
        <references count="4">
          <reference field="1" count="1" selected="0">
            <x v="0"/>
          </reference>
          <reference field="5" count="1" selected="0">
            <x v="12"/>
          </reference>
          <reference field="11" count="1" selected="0">
            <x v="169"/>
          </reference>
          <reference field="12" count="1">
            <x v="70"/>
          </reference>
        </references>
      </pivotArea>
    </format>
    <format dxfId="984">
      <pivotArea dataOnly="0" labelOnly="1" outline="0" fieldPosition="0">
        <references count="4">
          <reference field="1" count="1" selected="0">
            <x v="0"/>
          </reference>
          <reference field="5" count="1" selected="0">
            <x v="12"/>
          </reference>
          <reference field="11" count="1" selected="0">
            <x v="182"/>
          </reference>
          <reference field="12" count="1">
            <x v="57"/>
          </reference>
        </references>
      </pivotArea>
    </format>
    <format dxfId="983">
      <pivotArea dataOnly="0" labelOnly="1" outline="0" fieldPosition="0">
        <references count="4">
          <reference field="1" count="1" selected="0">
            <x v="0"/>
          </reference>
          <reference field="5" count="1" selected="0">
            <x v="12"/>
          </reference>
          <reference field="11" count="1" selected="0">
            <x v="232"/>
          </reference>
          <reference field="12" count="1">
            <x v="237"/>
          </reference>
        </references>
      </pivotArea>
    </format>
    <format dxfId="982">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981">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980">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979">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78">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77">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76">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75">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74">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73">
      <pivotArea dataOnly="0" labelOnly="1" outline="0" fieldPosition="0">
        <references count="4">
          <reference field="1" count="1" selected="0">
            <x v="0"/>
          </reference>
          <reference field="5" count="1" selected="0">
            <x v="14"/>
          </reference>
          <reference field="11" count="1" selected="0">
            <x v="138"/>
          </reference>
          <reference field="12" count="1">
            <x v="21"/>
          </reference>
        </references>
      </pivotArea>
    </format>
    <format dxfId="972">
      <pivotArea dataOnly="0" labelOnly="1" outline="0" fieldPosition="0">
        <references count="4">
          <reference field="1" count="1" selected="0">
            <x v="0"/>
          </reference>
          <reference field="5" count="1" selected="0">
            <x v="14"/>
          </reference>
          <reference field="11" count="1" selected="0">
            <x v="151"/>
          </reference>
          <reference field="12" count="1">
            <x v="1"/>
          </reference>
        </references>
      </pivotArea>
    </format>
    <format dxfId="971">
      <pivotArea dataOnly="0" labelOnly="1" outline="0" fieldPosition="0">
        <references count="4">
          <reference field="1" count="1" selected="0">
            <x v="0"/>
          </reference>
          <reference field="5" count="1" selected="0">
            <x v="14"/>
          </reference>
          <reference field="11" count="1" selected="0">
            <x v="153"/>
          </reference>
          <reference field="12" count="1">
            <x v="133"/>
          </reference>
        </references>
      </pivotArea>
    </format>
    <format dxfId="970">
      <pivotArea dataOnly="0" labelOnly="1" outline="0" fieldPosition="0">
        <references count="4">
          <reference field="1" count="1" selected="0">
            <x v="0"/>
          </reference>
          <reference field="5" count="1" selected="0">
            <x v="14"/>
          </reference>
          <reference field="11" count="1" selected="0">
            <x v="170"/>
          </reference>
          <reference field="12" count="1">
            <x v="5"/>
          </reference>
        </references>
      </pivotArea>
    </format>
    <format dxfId="969">
      <pivotArea dataOnly="0" labelOnly="1" outline="0" fieldPosition="0">
        <references count="4">
          <reference field="1" count="1" selected="0">
            <x v="0"/>
          </reference>
          <reference field="5" count="1" selected="0">
            <x v="14"/>
          </reference>
          <reference field="11" count="1" selected="0">
            <x v="171"/>
          </reference>
          <reference field="12" count="1">
            <x v="6"/>
          </reference>
        </references>
      </pivotArea>
    </format>
    <format dxfId="968">
      <pivotArea dataOnly="0" labelOnly="1" outline="0" fieldPosition="0">
        <references count="4">
          <reference field="1" count="1" selected="0">
            <x v="0"/>
          </reference>
          <reference field="5" count="1" selected="0">
            <x v="14"/>
          </reference>
          <reference field="11" count="1" selected="0">
            <x v="175"/>
          </reference>
          <reference field="12" count="1">
            <x v="8"/>
          </reference>
        </references>
      </pivotArea>
    </format>
    <format dxfId="967">
      <pivotArea dataOnly="0" labelOnly="1" outline="0" fieldPosition="0">
        <references count="4">
          <reference field="1" count="1" selected="0">
            <x v="0"/>
          </reference>
          <reference field="5" count="1" selected="0">
            <x v="14"/>
          </reference>
          <reference field="11" count="1" selected="0">
            <x v="183"/>
          </reference>
          <reference field="12" count="1">
            <x v="0"/>
          </reference>
        </references>
      </pivotArea>
    </format>
    <format dxfId="966">
      <pivotArea dataOnly="0" labelOnly="1" outline="0" fieldPosition="0">
        <references count="4">
          <reference field="1" count="1" selected="0">
            <x v="0"/>
          </reference>
          <reference field="5" count="1" selected="0">
            <x v="14"/>
          </reference>
          <reference field="11" count="1" selected="0">
            <x v="184"/>
          </reference>
          <reference field="12" count="1">
            <x v="3"/>
          </reference>
        </references>
      </pivotArea>
    </format>
    <format dxfId="965">
      <pivotArea dataOnly="0" labelOnly="1" outline="0" fieldPosition="0">
        <references count="4">
          <reference field="1" count="1" selected="0">
            <x v="0"/>
          </reference>
          <reference field="5" count="1" selected="0">
            <x v="14"/>
          </reference>
          <reference field="11" count="1" selected="0">
            <x v="185"/>
          </reference>
          <reference field="12" count="1">
            <x v="2"/>
          </reference>
        </references>
      </pivotArea>
    </format>
    <format dxfId="964">
      <pivotArea dataOnly="0" labelOnly="1" outline="0" fieldPosition="0">
        <references count="4">
          <reference field="1" count="1" selected="0">
            <x v="0"/>
          </reference>
          <reference field="5" count="1" selected="0">
            <x v="14"/>
          </reference>
          <reference field="11" count="1" selected="0">
            <x v="186"/>
          </reference>
          <reference field="12" count="1">
            <x v="4"/>
          </reference>
        </references>
      </pivotArea>
    </format>
    <format dxfId="963">
      <pivotArea dataOnly="0" labelOnly="1" outline="0" fieldPosition="0">
        <references count="4">
          <reference field="1" count="1" selected="0">
            <x v="0"/>
          </reference>
          <reference field="5" count="1" selected="0">
            <x v="14"/>
          </reference>
          <reference field="11" count="1" selected="0">
            <x v="198"/>
          </reference>
          <reference field="12" count="1">
            <x v="19"/>
          </reference>
        </references>
      </pivotArea>
    </format>
    <format dxfId="962">
      <pivotArea dataOnly="0" labelOnly="1" outline="0" fieldPosition="0">
        <references count="4">
          <reference field="1" count="1" selected="0">
            <x v="0"/>
          </reference>
          <reference field="5" count="1" selected="0">
            <x v="14"/>
          </reference>
          <reference field="11" count="1" selected="0">
            <x v="223"/>
          </reference>
          <reference field="12" count="1">
            <x v="20"/>
          </reference>
        </references>
      </pivotArea>
    </format>
    <format dxfId="961">
      <pivotArea dataOnly="0" labelOnly="1" outline="0" fieldPosition="0">
        <references count="4">
          <reference field="1" count="1" selected="0">
            <x v="0"/>
          </reference>
          <reference field="5" count="1" selected="0">
            <x v="17"/>
          </reference>
          <reference field="11" count="1" selected="0">
            <x v="190"/>
          </reference>
          <reference field="12" count="1">
            <x v="72"/>
          </reference>
        </references>
      </pivotArea>
    </format>
    <format dxfId="960">
      <pivotArea dataOnly="0" labelOnly="1" outline="0" fieldPosition="0">
        <references count="4">
          <reference field="1" count="1" selected="0">
            <x v="0"/>
          </reference>
          <reference field="5" count="1" selected="0">
            <x v="17"/>
          </reference>
          <reference field="11" count="1" selected="0">
            <x v="207"/>
          </reference>
          <reference field="12" count="1">
            <x v="218"/>
          </reference>
        </references>
      </pivotArea>
    </format>
    <format dxfId="959">
      <pivotArea dataOnly="0" labelOnly="1" outline="0" fieldPosition="0">
        <references count="4">
          <reference field="1" count="1" selected="0">
            <x v="0"/>
          </reference>
          <reference field="5" count="1" selected="0">
            <x v="17"/>
          </reference>
          <reference field="11" count="1" selected="0">
            <x v="225"/>
          </reference>
          <reference field="12" count="1">
            <x v="231"/>
          </reference>
        </references>
      </pivotArea>
    </format>
    <format dxfId="958">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57">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56">
      <pivotArea dataOnly="0" labelOnly="1" outline="0" fieldPosition="0">
        <references count="4">
          <reference field="1" count="1" selected="0">
            <x v="0"/>
          </reference>
          <reference field="5" count="1" selected="0">
            <x v="18"/>
          </reference>
          <reference field="11" count="1" selected="0">
            <x v="173"/>
          </reference>
          <reference field="12" count="1">
            <x v="64"/>
          </reference>
        </references>
      </pivotArea>
    </format>
    <format dxfId="955">
      <pivotArea dataOnly="0" labelOnly="1" outline="0" fieldPosition="0">
        <references count="4">
          <reference field="1" count="1" selected="0">
            <x v="0"/>
          </reference>
          <reference field="5" count="1" selected="0">
            <x v="18"/>
          </reference>
          <reference field="11" count="1" selected="0">
            <x v="174"/>
          </reference>
          <reference field="12" count="1">
            <x v="65"/>
          </reference>
        </references>
      </pivotArea>
    </format>
    <format dxfId="954">
      <pivotArea dataOnly="0" labelOnly="1" outline="0" fieldPosition="0">
        <references count="4">
          <reference field="1" count="1" selected="0">
            <x v="0"/>
          </reference>
          <reference field="5" count="1" selected="0">
            <x v="19"/>
          </reference>
          <reference field="11" count="1" selected="0">
            <x v="179"/>
          </reference>
          <reference field="12" count="1">
            <x v="172"/>
          </reference>
        </references>
      </pivotArea>
    </format>
    <format dxfId="953">
      <pivotArea dataOnly="0" labelOnly="1" outline="0" fieldPosition="0">
        <references count="4">
          <reference field="1" count="1" selected="0">
            <x v="0"/>
          </reference>
          <reference field="5" count="1" selected="0">
            <x v="19"/>
          </reference>
          <reference field="11" count="1" selected="0">
            <x v="230"/>
          </reference>
          <reference field="12" count="1">
            <x v="235"/>
          </reference>
        </references>
      </pivotArea>
    </format>
    <format dxfId="952">
      <pivotArea dataOnly="0" labelOnly="1" outline="0" fieldPosition="0">
        <references count="4">
          <reference field="1" count="1" selected="0">
            <x v="0"/>
          </reference>
          <reference field="5" count="1" selected="0">
            <x v="19"/>
          </reference>
          <reference field="11" count="1" selected="0">
            <x v="231"/>
          </reference>
          <reference field="12" count="1">
            <x v="236"/>
          </reference>
        </references>
      </pivotArea>
    </format>
    <format dxfId="951">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50">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49">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48">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47">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46">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45">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44">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43">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42">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41">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40">
      <pivotArea dataOnly="0" labelOnly="1" outline="0" fieldPosition="0">
        <references count="4">
          <reference field="1" count="1" selected="0">
            <x v="0"/>
          </reference>
          <reference field="5" count="1" selected="0">
            <x v="20"/>
          </reference>
          <reference field="11" count="1" selected="0">
            <x v="145"/>
          </reference>
          <reference field="12" count="1">
            <x v="30"/>
          </reference>
        </references>
      </pivotArea>
    </format>
    <format dxfId="939">
      <pivotArea dataOnly="0" labelOnly="1" outline="0" fieldPosition="0">
        <references count="4">
          <reference field="1" count="1" selected="0">
            <x v="0"/>
          </reference>
          <reference field="5" count="1" selected="0">
            <x v="20"/>
          </reference>
          <reference field="11" count="1" selected="0">
            <x v="159"/>
          </reference>
          <reference field="12" count="1">
            <x v="132"/>
          </reference>
        </references>
      </pivotArea>
    </format>
    <format dxfId="938">
      <pivotArea dataOnly="0" labelOnly="1" outline="0" fieldPosition="0">
        <references count="4">
          <reference field="1" count="1" selected="0">
            <x v="0"/>
          </reference>
          <reference field="5" count="1" selected="0">
            <x v="20"/>
          </reference>
          <reference field="11" count="1" selected="0">
            <x v="160"/>
          </reference>
          <reference field="12" count="1">
            <x v="29"/>
          </reference>
        </references>
      </pivotArea>
    </format>
    <format dxfId="937">
      <pivotArea dataOnly="0" labelOnly="1" outline="0" fieldPosition="0">
        <references count="4">
          <reference field="1" count="1" selected="0">
            <x v="0"/>
          </reference>
          <reference field="5" count="1" selected="0">
            <x v="20"/>
          </reference>
          <reference field="11" count="1" selected="0">
            <x v="161"/>
          </reference>
          <reference field="12" count="1">
            <x v="22"/>
          </reference>
        </references>
      </pivotArea>
    </format>
    <format dxfId="936">
      <pivotArea dataOnly="0" labelOnly="1" outline="0" fieldPosition="0">
        <references count="4">
          <reference field="1" count="1" selected="0">
            <x v="0"/>
          </reference>
          <reference field="5" count="1" selected="0">
            <x v="20"/>
          </reference>
          <reference field="11" count="1" selected="0">
            <x v="162"/>
          </reference>
          <reference field="12" count="1">
            <x v="27"/>
          </reference>
        </references>
      </pivotArea>
    </format>
    <format dxfId="935">
      <pivotArea dataOnly="0" labelOnly="1" outline="0" fieldPosition="0">
        <references count="4">
          <reference field="1" count="1" selected="0">
            <x v="0"/>
          </reference>
          <reference field="5" count="1" selected="0">
            <x v="20"/>
          </reference>
          <reference field="11" count="1" selected="0">
            <x v="163"/>
          </reference>
          <reference field="12" count="1">
            <x v="23"/>
          </reference>
        </references>
      </pivotArea>
    </format>
    <format dxfId="934">
      <pivotArea dataOnly="0" labelOnly="1" outline="0" fieldPosition="0">
        <references count="4">
          <reference field="1" count="1" selected="0">
            <x v="0"/>
          </reference>
          <reference field="5" count="1" selected="0">
            <x v="20"/>
          </reference>
          <reference field="11" count="1" selected="0">
            <x v="172"/>
          </reference>
          <reference field="12" count="1">
            <x v="38"/>
          </reference>
        </references>
      </pivotArea>
    </format>
    <format dxfId="933">
      <pivotArea dataOnly="0" labelOnly="1" outline="0" fieldPosition="0">
        <references count="4">
          <reference field="1" count="1" selected="0">
            <x v="0"/>
          </reference>
          <reference field="5" count="1" selected="0">
            <x v="20"/>
          </reference>
          <reference field="11" count="1" selected="0">
            <x v="187"/>
          </reference>
          <reference field="12" count="1">
            <x v="34"/>
          </reference>
        </references>
      </pivotArea>
    </format>
    <format dxfId="932">
      <pivotArea dataOnly="0" labelOnly="1" outline="0" fieldPosition="0">
        <references count="4">
          <reference field="1" count="1" selected="0">
            <x v="0"/>
          </reference>
          <reference field="5" count="1" selected="0">
            <x v="20"/>
          </reference>
          <reference field="11" count="1" selected="0">
            <x v="191"/>
          </reference>
          <reference field="12" count="1">
            <x v="35"/>
          </reference>
        </references>
      </pivotArea>
    </format>
    <format dxfId="931">
      <pivotArea dataOnly="0" labelOnly="1" outline="0" fieldPosition="0">
        <references count="4">
          <reference field="1" count="1" selected="0">
            <x v="0"/>
          </reference>
          <reference field="5" count="1" selected="0">
            <x v="20"/>
          </reference>
          <reference field="11" count="1" selected="0">
            <x v="195"/>
          </reference>
          <reference field="12" count="1">
            <x v="109"/>
          </reference>
        </references>
      </pivotArea>
    </format>
    <format dxfId="930">
      <pivotArea dataOnly="0" labelOnly="1" outline="0" fieldPosition="0">
        <references count="4">
          <reference field="1" count="1" selected="0">
            <x v="0"/>
          </reference>
          <reference field="5" count="1" selected="0">
            <x v="20"/>
          </reference>
          <reference field="11" count="1" selected="0">
            <x v="222"/>
          </reference>
          <reference field="12" count="1">
            <x v="113"/>
          </reference>
        </references>
      </pivotArea>
    </format>
    <format dxfId="929">
      <pivotArea dataOnly="0" labelOnly="1" outline="0" fieldPosition="0">
        <references count="4">
          <reference field="1" count="1" selected="0">
            <x v="0"/>
          </reference>
          <reference field="5" count="1" selected="0">
            <x v="20"/>
          </reference>
          <reference field="11" count="1" selected="0">
            <x v="224"/>
          </reference>
          <reference field="12" count="1">
            <x v="105"/>
          </reference>
        </references>
      </pivotArea>
    </format>
    <format dxfId="928">
      <pivotArea dataOnly="0" labelOnly="1" outline="0" fieldPosition="0">
        <references count="4">
          <reference field="1" count="1" selected="0">
            <x v="1"/>
          </reference>
          <reference field="5" count="1" selected="0">
            <x v="3"/>
          </reference>
          <reference field="11" count="1" selected="0">
            <x v="142"/>
          </reference>
          <reference field="12" count="1">
            <x v="209"/>
          </reference>
        </references>
      </pivotArea>
    </format>
    <format dxfId="927">
      <pivotArea dataOnly="0" labelOnly="1" outline="0" fieldPosition="0">
        <references count="4">
          <reference field="1" count="1" selected="0">
            <x v="1"/>
          </reference>
          <reference field="5" count="1" selected="0">
            <x v="3"/>
          </reference>
          <reference field="11" count="1" selected="0">
            <x v="226"/>
          </reference>
          <reference field="12" count="1">
            <x v="230"/>
          </reference>
        </references>
      </pivotArea>
    </format>
    <format dxfId="926">
      <pivotArea dataOnly="0" labelOnly="1" outline="0" fieldPosition="0">
        <references count="4">
          <reference field="1" count="1" selected="0">
            <x v="1"/>
          </reference>
          <reference field="5" count="1" selected="0">
            <x v="3"/>
          </reference>
          <reference field="11" count="1" selected="0">
            <x v="239"/>
          </reference>
          <reference field="12" count="1">
            <x v="247"/>
          </reference>
        </references>
      </pivotArea>
    </format>
    <format dxfId="925">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24">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23">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22">
      <pivotArea dataOnly="0" labelOnly="1" outline="0" fieldPosition="0">
        <references count="4">
          <reference field="1" count="1" selected="0">
            <x v="1"/>
          </reference>
          <reference field="5" count="1" selected="0">
            <x v="6"/>
          </reference>
          <reference field="11" count="1" selected="0">
            <x v="117"/>
          </reference>
          <reference field="12" count="1">
            <x v="193"/>
          </reference>
        </references>
      </pivotArea>
    </format>
    <format dxfId="921">
      <pivotArea dataOnly="0" labelOnly="1" outline="0" fieldPosition="0">
        <references count="4">
          <reference field="1" count="1" selected="0">
            <x v="1"/>
          </reference>
          <reference field="5" count="1" selected="0">
            <x v="6"/>
          </reference>
          <reference field="11" count="1" selected="0">
            <x v="131"/>
          </reference>
          <reference field="12" count="1">
            <x v="194"/>
          </reference>
        </references>
      </pivotArea>
    </format>
    <format dxfId="920">
      <pivotArea dataOnly="0" labelOnly="1" outline="0" fieldPosition="0">
        <references count="4">
          <reference field="1" count="1" selected="0">
            <x v="1"/>
          </reference>
          <reference field="5" count="1" selected="0">
            <x v="6"/>
          </reference>
          <reference field="11" count="1" selected="0">
            <x v="202"/>
          </reference>
          <reference field="12" count="1">
            <x v="205"/>
          </reference>
        </references>
      </pivotArea>
    </format>
    <format dxfId="919">
      <pivotArea dataOnly="0" labelOnly="1" outline="0" fieldPosition="0">
        <references count="4">
          <reference field="1" count="1" selected="0">
            <x v="1"/>
          </reference>
          <reference field="5" count="1" selected="0">
            <x v="6"/>
          </reference>
          <reference field="11" count="1" selected="0">
            <x v="215"/>
          </reference>
          <reference field="12" count="1">
            <x v="226"/>
          </reference>
        </references>
      </pivotArea>
    </format>
    <format dxfId="918">
      <pivotArea dataOnly="0" labelOnly="1" outline="0" fieldPosition="0">
        <references count="4">
          <reference field="1" count="1" selected="0">
            <x v="1"/>
          </reference>
          <reference field="5" count="1" selected="0">
            <x v="6"/>
          </reference>
          <reference field="11" count="1" selected="0">
            <x v="233"/>
          </reference>
          <reference field="12" count="1">
            <x v="238"/>
          </reference>
        </references>
      </pivotArea>
    </format>
    <format dxfId="917">
      <pivotArea dataOnly="0" labelOnly="1" outline="0" fieldPosition="0">
        <references count="4">
          <reference field="1" count="1" selected="0">
            <x v="1"/>
          </reference>
          <reference field="5" count="1" selected="0">
            <x v="6"/>
          </reference>
          <reference field="11" count="1" selected="0">
            <x v="240"/>
          </reference>
          <reference field="12" count="1">
            <x v="248"/>
          </reference>
        </references>
      </pivotArea>
    </format>
    <format dxfId="916">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15">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14">
      <pivotArea dataOnly="0" labelOnly="1" outline="0" fieldPosition="0">
        <references count="4">
          <reference field="1" count="1" selected="0">
            <x v="1"/>
          </reference>
          <reference field="5" count="1" selected="0">
            <x v="9"/>
          </reference>
          <reference field="11" count="1" selected="0">
            <x v="238"/>
          </reference>
          <reference field="12" count="1">
            <x v="243"/>
          </reference>
        </references>
      </pivotArea>
    </format>
    <format dxfId="913">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12">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11">
      <pivotArea dataOnly="0" labelOnly="1" outline="0" fieldPosition="0">
        <references count="4">
          <reference field="1" count="1" selected="0">
            <x v="1"/>
          </reference>
          <reference field="5" count="1" selected="0">
            <x v="13"/>
          </reference>
          <reference field="11" count="1" selected="0">
            <x v="114"/>
          </reference>
          <reference field="12" count="1">
            <x v="192"/>
          </reference>
        </references>
      </pivotArea>
    </format>
    <format dxfId="910">
      <pivotArea dataOnly="0" labelOnly="1" outline="0" fieldPosition="0">
        <references count="4">
          <reference field="1" count="1" selected="0">
            <x v="1"/>
          </reference>
          <reference field="5" count="1" selected="0">
            <x v="13"/>
          </reference>
          <reference field="11" count="1" selected="0">
            <x v="130"/>
          </reference>
          <reference field="12" count="1">
            <x v="197"/>
          </reference>
        </references>
      </pivotArea>
    </format>
    <format dxfId="909">
      <pivotArea dataOnly="0" labelOnly="1" outline="0" fieldPosition="0">
        <references count="4">
          <reference field="1" count="1" selected="0">
            <x v="1"/>
          </reference>
          <reference field="5" count="1" selected="0">
            <x v="13"/>
          </reference>
          <reference field="11" count="1" selected="0">
            <x v="208"/>
          </reference>
          <reference field="12" count="1">
            <x v="219"/>
          </reference>
        </references>
      </pivotArea>
    </format>
    <format dxfId="908">
      <pivotArea dataOnly="0" labelOnly="1" outline="0" fieldPosition="0">
        <references count="4">
          <reference field="1" count="1" selected="0">
            <x v="1"/>
          </reference>
          <reference field="5" count="1" selected="0">
            <x v="13"/>
          </reference>
          <reference field="11" count="1" selected="0">
            <x v="211"/>
          </reference>
          <reference field="12" count="1">
            <x v="223"/>
          </reference>
        </references>
      </pivotArea>
    </format>
    <format dxfId="907">
      <pivotArea dataOnly="0" labelOnly="1" outline="0" fieldPosition="0">
        <references count="4">
          <reference field="1" count="1" selected="0">
            <x v="1"/>
          </reference>
          <reference field="5" count="1" selected="0">
            <x v="15"/>
          </reference>
          <reference field="11" count="1" selected="0">
            <x v="124"/>
          </reference>
          <reference field="12" count="1">
            <x v="191"/>
          </reference>
        </references>
      </pivotArea>
    </format>
    <format dxfId="906">
      <pivotArea dataOnly="0" labelOnly="1" outline="0" fieldPosition="0">
        <references count="4">
          <reference field="1" count="1" selected="0">
            <x v="1"/>
          </reference>
          <reference field="5" count="1" selected="0">
            <x v="15"/>
          </reference>
          <reference field="11" count="1" selected="0">
            <x v="125"/>
          </reference>
          <reference field="12" count="1">
            <x v="188"/>
          </reference>
        </references>
      </pivotArea>
    </format>
    <format dxfId="905">
      <pivotArea dataOnly="0" labelOnly="1" outline="0" fieldPosition="0">
        <references count="4">
          <reference field="1" count="1" selected="0">
            <x v="1"/>
          </reference>
          <reference field="5" count="1" selected="0">
            <x v="15"/>
          </reference>
          <reference field="11" count="1" selected="0">
            <x v="126"/>
          </reference>
          <reference field="12" count="1">
            <x v="190"/>
          </reference>
        </references>
      </pivotArea>
    </format>
    <format dxfId="904">
      <pivotArea dataOnly="0" labelOnly="1" outline="0" fieldPosition="0">
        <references count="4">
          <reference field="1" count="1" selected="0">
            <x v="1"/>
          </reference>
          <reference field="5" count="1" selected="0">
            <x v="15"/>
          </reference>
          <reference field="11" count="1" selected="0">
            <x v="209"/>
          </reference>
          <reference field="12" count="1">
            <x v="220"/>
          </reference>
        </references>
      </pivotArea>
    </format>
    <format dxfId="903">
      <pivotArea dataOnly="0" labelOnly="1" outline="0" fieldPosition="0">
        <references count="4">
          <reference field="1" count="1" selected="0">
            <x v="1"/>
          </reference>
          <reference field="5" count="1" selected="0">
            <x v="15"/>
          </reference>
          <reference field="11" count="1" selected="0">
            <x v="213"/>
          </reference>
          <reference field="12" count="1">
            <x v="221"/>
          </reference>
        </references>
      </pivotArea>
    </format>
    <format dxfId="902">
      <pivotArea dataOnly="0" labelOnly="1" outline="0" fieldPosition="0">
        <references count="4">
          <reference field="1" count="1" selected="0">
            <x v="1"/>
          </reference>
          <reference field="5" count="1" selected="0">
            <x v="15"/>
          </reference>
          <reference field="11" count="1" selected="0">
            <x v="235"/>
          </reference>
          <reference field="12" count="1">
            <x v="244"/>
          </reference>
        </references>
      </pivotArea>
    </format>
    <format dxfId="901">
      <pivotArea dataOnly="0" labelOnly="1" outline="0" fieldPosition="0">
        <references count="4">
          <reference field="1" count="1" selected="0">
            <x v="1"/>
          </reference>
          <reference field="5" count="1" selected="0">
            <x v="15"/>
          </reference>
          <reference field="11" count="1" selected="0">
            <x v="236"/>
          </reference>
          <reference field="12" count="1">
            <x v="245"/>
          </reference>
        </references>
      </pivotArea>
    </format>
    <format dxfId="900">
      <pivotArea dataOnly="0" labelOnly="1" outline="0" fieldPosition="0">
        <references count="4">
          <reference field="1" count="1" selected="0">
            <x v="1"/>
          </reference>
          <reference field="5" count="1" selected="0">
            <x v="16"/>
          </reference>
          <reference field="11" count="1" selected="0">
            <x v="136"/>
          </reference>
          <reference field="12" count="1">
            <x v="199"/>
          </reference>
        </references>
      </pivotArea>
    </format>
    <format dxfId="899">
      <pivotArea dataOnly="0" labelOnly="1" outline="0" fieldPosition="0">
        <references count="4">
          <reference field="1" count="1" selected="0">
            <x v="1"/>
          </reference>
          <reference field="5" count="1" selected="0">
            <x v="16"/>
          </reference>
          <reference field="11" count="1" selected="0">
            <x v="137"/>
          </reference>
          <reference field="12" count="1">
            <x v="211"/>
          </reference>
        </references>
      </pivotArea>
    </format>
    <format dxfId="898">
      <pivotArea dataOnly="0" labelOnly="1" outline="0" fieldPosition="0">
        <references count="4">
          <reference field="1" count="1" selected="0">
            <x v="1"/>
          </reference>
          <reference field="5" count="1" selected="0">
            <x v="16"/>
          </reference>
          <reference field="11" count="1" selected="0">
            <x v="237"/>
          </reference>
          <reference field="12" count="1">
            <x v="242"/>
          </reference>
        </references>
      </pivotArea>
    </format>
    <format dxfId="897">
      <pivotArea dataOnly="0" labelOnly="1" outline="0" fieldPosition="0">
        <references count="1">
          <reference field="4294967294" count="2">
            <x v="0"/>
            <x v="1"/>
          </reference>
        </references>
      </pivotArea>
    </format>
    <format dxfId="896">
      <pivotArea field="1" type="button" dataOnly="0" labelOnly="1" outline="0" axis="axisRow" fieldPosition="0"/>
    </format>
    <format dxfId="895">
      <pivotArea field="5" type="button" dataOnly="0" labelOnly="1" outline="0" axis="axisRow" fieldPosition="1"/>
    </format>
    <format dxfId="894">
      <pivotArea field="11" type="button" dataOnly="0" labelOnly="1" outline="0" axis="axisRow" fieldPosition="2"/>
    </format>
    <format dxfId="893">
      <pivotArea field="12" type="button" dataOnly="0" labelOnly="1" outline="0" axis="axisRow" fieldPosition="3"/>
    </format>
    <format dxfId="892">
      <pivotArea field="24" type="button" dataOnly="0" labelOnly="1" outline="0" axis="axisRow" fieldPosition="4"/>
    </format>
    <format dxfId="891">
      <pivotArea field="19" type="button" dataOnly="0" labelOnly="1" outline="0" axis="axisRow" fieldPosition="5"/>
    </format>
    <format dxfId="890">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F297" tableType="xml" totalsRowShown="0" headerRowDxfId="1246" dataDxfId="1245" headerRowCellStyle="Normal_Sheet11">
  <autoFilter ref="B4:AF297">
    <filterColumn colId="0">
      <filters>
        <filter val="Open"/>
      </filters>
    </filterColumn>
  </autoFilter>
  <sortState ref="B5:AF290">
    <sortCondition ref="N4:N297"/>
  </sortState>
  <tableColumns count="31">
    <tableColumn id="24" uniqueName="Status" name="Status" dataDxfId="1244" dataCellStyle="Normal_Sheet3_1">
      <xmlColumnPr mapId="11" xpath="/dataroot/Camp_x005f_x0020_List/Status" xmlDataType="string"/>
    </tableColumn>
    <tableColumn id="2" uniqueName="State" name="State" dataDxfId="1243">
      <xmlColumnPr mapId="11" xpath="/dataroot/Camp_x005f_x0020_List/State" xmlDataType="string"/>
    </tableColumn>
    <tableColumn id="12" uniqueName="S_Pcode" name="S_Pcode" dataDxfId="1242">
      <xmlColumnPr mapId="11" xpath="/dataroot/Camp_x005f_x0020_List/S_Pcode" xmlDataType="string"/>
    </tableColumn>
    <tableColumn id="23" uniqueName="District" name="District" dataDxfId="1241">
      <xmlColumnPr mapId="11" xpath="/dataroot/Camp_x005f_x0020_List/District" xmlDataType="string"/>
    </tableColumn>
    <tableColumn id="19" uniqueName="D_Pcode" name="D_Pcode" dataDxfId="1240">
      <xmlColumnPr mapId="11" xpath="/dataroot/Camp_x005f_x0020_List/D_Pcode" xmlDataType="string"/>
    </tableColumn>
    <tableColumn id="3" uniqueName="Township" name="Township" dataDxfId="1239">
      <xmlColumnPr mapId="11" xpath="/dataroot/Camp_x005f_x0020_List/Township" xmlDataType="string"/>
    </tableColumn>
    <tableColumn id="13" uniqueName="T_Pcode" name="T_Pcode" dataDxfId="1238">
      <xmlColumnPr mapId="11" xpath="/dataroot/Camp_x005f_x0020_List/T_Pcode" xmlDataType="string"/>
    </tableColumn>
    <tableColumn id="14" uniqueName="VillageTracKTown" name="VillageTracKTown" dataDxfId="1237">
      <xmlColumnPr mapId="11" xpath="/dataroot/Camp_x005f_x0020_List/VillageTracKTown" xmlDataType="string"/>
    </tableColumn>
    <tableColumn id="15" uniqueName="VTT_Pcode" name="VTT_Pcode" dataDxfId="1236">
      <xmlColumnPr mapId="11" xpath="/dataroot/Camp_x005f_x0020_List/VTT_Pcode" xmlDataType="string"/>
    </tableColumn>
    <tableColumn id="16" uniqueName="VillageWard_Name" name="VillageWard_Name" dataDxfId="1235">
      <xmlColumnPr mapId="11" xpath="/dataroot/Camp_x005f_x0020_List/VillageWard_Name" xmlDataType="string"/>
    </tableColumn>
    <tableColumn id="17" uniqueName="VW_Pcode" name="VW_Pcode" dataDxfId="1234">
      <xmlColumnPr mapId="11" xpath="/dataroot/Camp_x005f_x0020_List/VW_Pcode" xmlDataType="string"/>
    </tableColumn>
    <tableColumn id="4" uniqueName="Camp" name="Camp" dataDxfId="1233">
      <xmlColumnPr mapId="11" xpath="/dataroot/Camp_x005f_x0020_List/Camp" xmlDataType="string"/>
    </tableColumn>
    <tableColumn id="5" uniqueName="CP_Pcode" name="CP_Pcode" dataDxfId="1232">
      <xmlColumnPr mapId="11" xpath="/dataroot/Camp_x005f_x0020_List/CP_Pcode" xmlDataType="string"/>
    </tableColumn>
    <tableColumn id="6" uniqueName="Longitude" name="Longitude" dataDxfId="1231">
      <xmlColumnPr mapId="11" xpath="/dataroot/Camp_x005f_x0020_List/Longitude" xmlDataType="double"/>
    </tableColumn>
    <tableColumn id="7" uniqueName="Latitude" name="Latitude" dataDxfId="1230">
      <xmlColumnPr mapId="11" xpath="/dataroot/Camp_x005f_x0020_List/Latitude" xmlDataType="double"/>
    </tableColumn>
    <tableColumn id="25" uniqueName="Altitude" name="Altitude" dataDxfId="1229">
      <xmlColumnPr mapId="11" xpath="/dataroot/Camp_x005f_x0020_List/Altitude" xmlDataType="double"/>
    </tableColumn>
    <tableColumn id="8" uniqueName="HH" name="HH" dataDxfId="1228">
      <xmlColumnPr mapId="11" xpath="/dataroot/Camp_x005f_x0020_List/HH" xmlDataType="double"/>
    </tableColumn>
    <tableColumn id="9" uniqueName="Total" name="Total" dataDxfId="1227">
      <xmlColumnPr mapId="11" xpath="/dataroot/Camp_x005f_x0020_List/Total" xmlDataType="double"/>
    </tableColumn>
    <tableColumn id="11" uniqueName="Avg" name="Avg" dataDxfId="1226">
      <calculatedColumnFormula>IF(CampList[[#This Row],[HH]]&gt;0,CampList[[#This Row],[Total]]/CampList[[#This Row],[HH]],"NA")</calculatedColumnFormula>
      <xmlColumnPr mapId="11" xpath="/dataroot/Camp_x005f_x0020_List/Avg" xmlDataType="string"/>
    </tableColumn>
    <tableColumn id="28" uniqueName="Accessibility" name="Accessibility" dataDxfId="1225">
      <xmlColumnPr mapId="11" xpath="/dataroot/Camp_x005f_x0020_List/Accessibility" xmlDataType="string"/>
    </tableColumn>
    <tableColumn id="1" uniqueName="Affected Population" name="Affected Population" dataDxfId="1224">
      <xmlColumnPr mapId="11" xpath="/dataroot/Camp_x005f_x0020_List/Affected_x005f_x0020_Population" xmlDataType="string"/>
    </tableColumn>
    <tableColumn id="29" uniqueName="Type of Accomodation" name="Type of Accomodation" dataDxfId="1223">
      <xmlColumnPr mapId="11" xpath="/dataroot/Camp_x005f_x0020_List/Type_x005f_x0020_of_x005f_x0020_Accomodation" xmlDataType="string"/>
    </tableColumn>
    <tableColumn id="30" uniqueName="Type of Location" name="Type of Location" dataDxfId="1222">
      <xmlColumnPr mapId="11" xpath="/dataroot/Camp_x005f_x0020_List/Type_x005f_x0020_of_x005f_x0020_Location" xmlDataType="string"/>
    </tableColumn>
    <tableColumn id="31" uniqueName="Opening Date" name="Opening Date" dataDxfId="1221">
      <xmlColumnPr mapId="11" xpath="/dataroot/Camp_x005f_x0020_List/Opening_x005f_x0020_Date" xmlDataType="dateTime"/>
    </tableColumn>
    <tableColumn id="26" uniqueName="Responsible Agency" name="Responsible Agency" dataDxfId="1220">
      <xmlColumnPr mapId="11" xpath="/dataroot/Camp_x005f_x0020_List/Responsible_x005f_x0020_Agency" xmlDataType="string"/>
    </tableColumn>
    <tableColumn id="18" uniqueName="Source" name="Source" dataDxfId="1219">
      <xmlColumnPr mapId="11" xpath="/dataroot/Camp_x005f_x0020_List/Source" xmlDataType="string"/>
    </tableColumn>
    <tableColumn id="10" uniqueName="Update Date" name="Update Date" dataDxfId="1218">
      <xmlColumnPr mapId="11" xpath="/dataroot/Camp_x005f_x0020_List/Update_x005f_x0020_Date" xmlDataType="dateTime"/>
    </tableColumn>
    <tableColumn id="21" uniqueName="Comment" name="Comment" dataDxfId="1217">
      <xmlColumnPr mapId="11" xpath="/dataroot/Camp_x005f_x0020_List/Comment" xmlDataType="string"/>
    </tableColumn>
    <tableColumn id="35" uniqueName="Nearest_Town" name="Nearest_Town" dataDxfId="121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1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1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316" dataDxfId="315">
  <autoFilter ref="L1:L24"/>
  <tableColumns count="1">
    <tableColumn id="1" name="Kachin" dataDxfId="314"/>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313" dataDxfId="312">
  <autoFilter ref="N1:N7"/>
  <tableColumns count="1">
    <tableColumn id="1" name="Shan_North" dataDxfId="311"/>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99" totalsRowShown="0">
  <autoFilter ref="A1:C199"/>
  <sortState ref="A2:C166">
    <sortCondition ref="A1:A166"/>
  </sortState>
  <tableColumns count="3">
    <tableColumn id="1" name="CP_Pcode" dataDxfId="1213"/>
    <tableColumn id="2" name="Nearest Town" dataDxfId="1212"/>
    <tableColumn id="3" name="distance" dataDxfId="121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57" dataDxfId="1155" totalsRowDxfId="1153" headerRowBorderDxfId="1156" tableBorderDxfId="1154" totalsRowBorderDxfId="1152" dataCellStyle="Percent">
  <autoFilter ref="T2:AG25"/>
  <tableColumns count="14">
    <tableColumn id="1" name="Pcode" dataDxfId="1151" totalsRowDxfId="1150"/>
    <tableColumn id="2" name="Township" totalsRowLabel="Kachin/Shan" dataDxfId="1149" totalsRowDxfId="1148"/>
    <tableColumn id="3" name="Long." totalsRowLabel="96.00" dataDxfId="1147" totalsRowDxfId="1146"/>
    <tableColumn id="4" name="Lat." totalsRowLabel="27.00" dataDxfId="1145" totalsRowDxfId="1144"/>
    <tableColumn id="5" name="HS" totalsRowFunction="sum" dataDxfId="1143" totalsRowDxfId="1142">
      <calculatedColumnFormula>#REF!</calculatedColumnFormula>
    </tableColumn>
    <tableColumn id="6" name="Pop" totalsRowFunction="sum" dataDxfId="1141" totalsRowDxfId="1140" dataCellStyle="Comma"/>
    <tableColumn id="7" name="N_cps" totalsRowFunction="custom" dataDxfId="1139" totalsRowDxfId="1138">
      <calculatedColumnFormula>CONCATENATE(AG2," cp",IF(AG2&gt;1,"s",""))</calculatedColumnFormula>
      <totalsRowFormula>CONCATENATE(Table58[[#Totals],[Column1]]," camps")</totalsRowFormula>
    </tableColumn>
    <tableColumn id="8" name="Coverage" totalsRowFunction="custom" dataDxfId="1137" totalsRowDxfId="1136" dataCellStyle="Percent">
      <calculatedColumnFormula>#REF!</calculatedColumnFormula>
      <totalsRowFormula>SUMPRODUCT(Table58[Pop]*Table58[Coverage])/Table58[[#Totals],[Pop]]</totalsRowFormula>
    </tableColumn>
    <tableColumn id="9" name="Hygiene" totalsRowFunction="custom" dataDxfId="1135" totalsRowDxfId="1134" dataCellStyle="Percent">
      <totalsRowFormula>SUMPRODUCT(Table58[Pop]*Table58[Hygiene])/Table58[[#Totals],[Pop]]</totalsRowFormula>
    </tableColumn>
    <tableColumn id="10" name="Core" totalsRowFunction="custom" dataDxfId="1133" totalsRowDxfId="1132" dataCellStyle="Percent">
      <totalsRowFormula>SUMPRODUCT(Table58[Pop]*Table58[Core])/Table58[[#Totals],[Pop]]</totalsRowFormula>
    </tableColumn>
    <tableColumn id="11" name="Sanitary" totalsRowFunction="custom" dataDxfId="1131" totalsRowDxfId="1130" dataCellStyle="Percent">
      <totalsRowFormula>SUMPRODUCT(Table58[Pop]*Table58[Sanitary])/Table58[[#Totals],[Pop]]</totalsRowFormula>
    </tableColumn>
    <tableColumn id="12" name="Y" totalsRowFunction="custom" dataDxfId="1129" totalsRowDxfId="1128">
      <calculatedColumnFormula>$S$3-ROUND((W3-$S$1)*$S$5,0)</calculatedColumnFormula>
      <totalsRowFormula>1000-ROUND((W26-23.5)*$S$5,0)</totalsRowFormula>
    </tableColumn>
    <tableColumn id="13" name="X" totalsRowFunction="custom" dataDxfId="1127" totalsRowDxfId="1126">
      <calculatedColumnFormula>ROUND((V3-$S$2)*$S$5,0)+$S$4</calculatedColumnFormula>
      <totalsRowFormula>ROUND((V26-96.5)*$S$5,0)+100</totalsRowFormula>
    </tableColumn>
    <tableColumn id="14" name="Column1" totalsRowFunction="sum" dataDxfId="1125" totalsRowDxfId="1124"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D16:CG32" totalsRowShown="0" headerRowDxfId="564" dataDxfId="562" headerRowBorderDxfId="563" tableBorderDxfId="561" totalsRowBorderDxfId="560">
  <autoFilter ref="CD16:CG32"/>
  <tableColumns count="4">
    <tableColumn id="1" name="Township" dataDxfId="559">
      <calculatedColumnFormula>B10</calculatedColumnFormula>
    </tableColumn>
    <tableColumn id="2" name="V1" dataDxfId="558">
      <calculatedColumnFormula>C10-Shelter_Draw[[#This Row],[V2]]-Shelter_Draw[[#This Row],[V3]]</calculatedColumnFormula>
    </tableColumn>
    <tableColumn id="3" name="V2" dataDxfId="557">
      <calculatedColumnFormula>H10</calculatedColumnFormula>
    </tableColumn>
    <tableColumn id="4" name="V3" dataDxfId="556">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555" dataDxfId="554" tableBorderDxfId="553">
  <tableColumns count="7">
    <tableColumn id="1" name="Township" dataDxfId="552"/>
    <tableColumn id="2" name="# HHs" dataDxfId="551"/>
    <tableColumn id="3" name="# Individuals" dataDxfId="550"/>
    <tableColumn id="4" name="# Shelters needed" dataDxfId="549"/>
    <tableColumn id="5" name="# Shelters planned" dataDxfId="548"/>
    <tableColumn id="6" name="# Shelter gap*" dataDxfId="547"/>
    <tableColumn id="7" name="Current Coverage" dataDxfId="546">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N41" headerRowCount="0" totalsRowShown="0" headerRowDxfId="545" dataDxfId="543" headerRowBorderDxfId="544" tableBorderDxfId="542">
  <tableColumns count="65">
    <tableColumn id="1" name="Column1" headerRowDxfId="541" dataDxfId="540"/>
    <tableColumn id="2" name="Column2" headerRowDxfId="539" dataDxfId="538"/>
    <tableColumn id="3" name="Column3" headerRowDxfId="537" dataDxfId="536"/>
    <tableColumn id="4" name="Column4" headerRowDxfId="535" dataDxfId="534"/>
    <tableColumn id="5" name="Column5" headerRowDxfId="533" dataDxfId="532"/>
    <tableColumn id="6" name="Column6" headerRowDxfId="531" dataDxfId="530"/>
    <tableColumn id="7" name="Column7" headerRowDxfId="529" dataDxfId="528"/>
    <tableColumn id="8" name="Column8" headerRowDxfId="527" dataDxfId="526"/>
    <tableColumn id="9" name="Column9" headerRowDxfId="525" dataDxfId="524"/>
    <tableColumn id="10" name="Column10" headerRowDxfId="523" dataDxfId="522"/>
    <tableColumn id="11" name="Column11" headerRowDxfId="521" dataDxfId="520"/>
    <tableColumn id="65" name="Column65" headerRowDxfId="519" dataDxfId="518"/>
    <tableColumn id="64" name="Column64" headerRowDxfId="517" dataDxfId="516"/>
    <tableColumn id="63" name="Column63" headerRowDxfId="515" dataDxfId="514"/>
    <tableColumn id="59" name="Column62" headerRowDxfId="513" dataDxfId="512"/>
    <tableColumn id="58" name="Column61" headerRowDxfId="511" dataDxfId="510"/>
    <tableColumn id="57" name="Column60" headerRowDxfId="509" dataDxfId="508"/>
    <tableColumn id="12" name="Column12" headerRowDxfId="507" dataDxfId="506"/>
    <tableColumn id="13" name="Column13" headerRowDxfId="505" dataDxfId="504"/>
    <tableColumn id="14" name="Column14" headerRowDxfId="503" dataDxfId="502"/>
    <tableColumn id="15" name="Column15" headerRowDxfId="501" dataDxfId="500"/>
    <tableColumn id="16" name="Column16" headerRowDxfId="499" dataDxfId="498"/>
    <tableColumn id="17" name="Column17" headerRowDxfId="497" dataDxfId="496"/>
    <tableColumn id="18" name="Column18" headerRowDxfId="495" dataDxfId="494"/>
    <tableColumn id="19" name="Column19" headerRowDxfId="493" dataDxfId="492"/>
    <tableColumn id="20" name="Column20" headerRowDxfId="491" dataDxfId="490"/>
    <tableColumn id="21" name="Column21" headerRowDxfId="489" dataDxfId="488"/>
    <tableColumn id="22" name="Column22" headerRowDxfId="487" dataDxfId="486"/>
    <tableColumn id="23" name="Column23" headerRowDxfId="485" dataDxfId="484"/>
    <tableColumn id="24" name="Column24" headerRowDxfId="483" dataDxfId="482"/>
    <tableColumn id="25" name="Column25" headerRowDxfId="481" dataDxfId="480"/>
    <tableColumn id="26" name="Column26" headerRowDxfId="479" dataDxfId="478"/>
    <tableColumn id="27" name="Column27" headerRowDxfId="477" dataDxfId="476"/>
    <tableColumn id="28" name="Column28" headerRowDxfId="475" dataDxfId="474"/>
    <tableColumn id="29" name="Column29" headerRowDxfId="473" dataDxfId="472"/>
    <tableColumn id="30" name="Column30" headerRowDxfId="471" dataDxfId="470"/>
    <tableColumn id="31" name="Column31" headerRowDxfId="469" dataDxfId="468"/>
    <tableColumn id="32" name="Column32" headerRowDxfId="467" dataDxfId="466"/>
    <tableColumn id="60" name="Column57" headerRowDxfId="465" dataDxfId="464"/>
    <tableColumn id="61" name="Column58" headerRowDxfId="463" dataDxfId="462"/>
    <tableColumn id="62" name="Column59" headerRowDxfId="461" dataDxfId="460"/>
    <tableColumn id="33" name="Column33" headerRowDxfId="459" dataDxfId="458"/>
    <tableColumn id="34" name="Column34" headerRowDxfId="457" dataDxfId="456"/>
    <tableColumn id="35" name="Column35" headerRowDxfId="455" dataDxfId="454"/>
    <tableColumn id="36" name="Column36" headerRowDxfId="453" dataDxfId="452"/>
    <tableColumn id="37" name="Column37" headerRowDxfId="451" dataDxfId="450"/>
    <tableColumn id="38" name="Column38" headerRowDxfId="449" dataDxfId="448"/>
    <tableColumn id="51" name="Column51" headerRowDxfId="447" dataDxfId="446"/>
    <tableColumn id="52" name="Column52" headerRowDxfId="445" dataDxfId="444"/>
    <tableColumn id="53" name="Column53" headerRowDxfId="443" dataDxfId="442"/>
    <tableColumn id="54" name="Column54" headerRowDxfId="441" dataDxfId="440"/>
    <tableColumn id="55" name="Column55" headerRowDxfId="439" dataDxfId="438"/>
    <tableColumn id="56" name="Column56" headerRowDxfId="437" dataDxfId="436"/>
    <tableColumn id="39" name="Column39" headerRowDxfId="435" dataDxfId="434"/>
    <tableColumn id="40" name="Column40" headerRowDxfId="433" dataDxfId="432"/>
    <tableColumn id="41" name="Column41" headerRowDxfId="431" dataDxfId="430"/>
    <tableColumn id="42" name="Column42" headerRowDxfId="429" dataDxfId="428"/>
    <tableColumn id="43" name="Column43" headerRowDxfId="427" dataDxfId="426"/>
    <tableColumn id="44" name="Column44" headerRowDxfId="425" dataDxfId="424"/>
    <tableColumn id="45" name="Column45" headerRowDxfId="423" dataDxfId="422"/>
    <tableColumn id="46" name="Column46" headerRowDxfId="421" dataDxfId="420"/>
    <tableColumn id="47" name="Column47" headerRowDxfId="419" dataDxfId="418"/>
    <tableColumn id="48" name="Column48" headerRowDxfId="417" dataDxfId="416"/>
    <tableColumn id="49" name="Column49" headerRowDxfId="415" dataDxfId="414"/>
    <tableColumn id="50" name="Column50" headerRowDxfId="413" dataDxfId="412"/>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U280" tableType="xml" totalsRowShown="0" headerRowDxfId="409" dataDxfId="407" headerRowBorderDxfId="408" tableBorderDxfId="406" totalsRowBorderDxfId="405">
  <autoFilter ref="B5:AU280">
    <filterColumn colId="5">
      <filters>
        <filter val="Namhkam"/>
        <filter val="Namhkan"/>
      </filters>
    </filterColumn>
  </autoFilter>
  <sortState ref="B6:AT180">
    <sortCondition ref="B5:B180"/>
  </sortState>
  <tableColumns count="46">
    <tableColumn id="1" uniqueName="Distribution Date" name="Distribution Date" dataDxfId="404">
      <xmlColumnPr mapId="8" xpath="/dataroot/NFI_x005f_x0020_Tracking/Distribution_x005f_x0020_Date" xmlDataType="dateTime"/>
    </tableColumn>
    <tableColumn id="29" uniqueName="29" name="Distribution Month/Year (Auto-calculated)" dataDxfId="403">
      <calculatedColumnFormula>MONTH(Table_NFI[[#This Row],[Distribution Date]]) &amp; "/" &amp; YEAR(Table_NFI[[#This Row],[Distribution Date]])</calculatedColumnFormula>
    </tableColumn>
    <tableColumn id="2" uniqueName="Organization" name="Agency" dataDxfId="402">
      <xmlColumnPr mapId="8" xpath="/dataroot/NFI_x005f_x0020_Tracking/Organization" xmlDataType="string"/>
    </tableColumn>
    <tableColumn id="3" uniqueName="Implementing Partner" name="Implementing Partner" dataDxfId="401">
      <xmlColumnPr mapId="8" xpath="/dataroot/NFI_x005f_x0020_Tracking/Implementing_x005f_x0020_Partner" xmlDataType="string"/>
    </tableColumn>
    <tableColumn id="4" uniqueName="State" name="State" dataDxfId="400">
      <xmlColumnPr mapId="8" xpath="/dataroot/NFI_x005f_x0020_Tracking/State" xmlDataType="string"/>
    </tableColumn>
    <tableColumn id="5" uniqueName="Township" name="Township" dataDxfId="399">
      <xmlColumnPr mapId="8" xpath="/dataroot/NFI_x005f_x0020_Tracking/Township" xmlDataType="string"/>
    </tableColumn>
    <tableColumn id="6" uniqueName="Camp Name" name="Location" dataDxfId="398">
      <xmlColumnPr mapId="8" xpath="/dataroot/NFI_x005f_x0020_Tracking/Camp_x005f_x0020_Name" xmlDataType="string"/>
    </tableColumn>
    <tableColumn id="44" uniqueName="44" name="Cash for NFI (# of HHs covered)" dataDxfId="397"/>
    <tableColumn id="7" uniqueName="Hygiene Kit" name="Hygiene Kit" dataDxfId="396">
      <xmlColumnPr mapId="8" xpath="/dataroot/NFI_x005f_x0020_Tracking/Hygiene_x005f_x0020_Kit" xmlDataType="string"/>
    </tableColumn>
    <tableColumn id="15" uniqueName="15" name="Dignity Kit" dataDxfId="395"/>
    <tableColumn id="8" uniqueName="NFI Core Kit" name="NFI Core Kit" dataDxfId="394">
      <xmlColumnPr mapId="8" xpath="/dataroot/NFI_x005f_x0020_Tracking/NFI_x005f_x0020_Core_x005f_x0020_Kit" xmlDataType="string"/>
    </tableColumn>
    <tableColumn id="9" uniqueName="Sanitary Kit" name="Sanitary Kit" dataDxfId="393">
      <xmlColumnPr mapId="8" xpath="/dataroot/NFI_x005f_x0020_Tracking/Sanitary_x005f_x0020_Kit" xmlDataType="string"/>
    </tableColumn>
    <tableColumn id="10" uniqueName="Mosquito net" name="Mosquito net" dataDxfId="392">
      <xmlColumnPr mapId="8" xpath="/dataroot/NFI_x005f_x0020_Tracking/Mosquito_x005f_x0020_net" xmlDataType="double"/>
    </tableColumn>
    <tableColumn id="11" uniqueName="Tarpaulin" name="Tarpaulin" dataDxfId="391">
      <xmlColumnPr mapId="8" xpath="/dataroot/NFI_x005f_x0020_Tracking/Tarpaulin" xmlDataType="double"/>
    </tableColumn>
    <tableColumn id="12" uniqueName="Blanket" name="Blanket" dataDxfId="390">
      <xmlColumnPr mapId="8" xpath="/dataroot/NFI_x005f_x0020_Tracking/Blanket" xmlDataType="double"/>
    </tableColumn>
    <tableColumn id="13" uniqueName="Kitchen Set" name="Kitchen Set" dataDxfId="389">
      <xmlColumnPr mapId="8" xpath="/dataroot/NFI_x005f_x0020_Tracking/Kitchen_x005f_x0020_Set" xmlDataType="double"/>
    </tableColumn>
    <tableColumn id="14" uniqueName="Clothes Kit" name="Clothes Kit" dataDxfId="388">
      <xmlColumnPr mapId="8" xpath="/dataroot/NFI_x005f_x0020_Tracking/Clothes_x005f_x0020_Kit" xmlDataType="double"/>
    </tableColumn>
    <tableColumn id="26" uniqueName="Plastic Bucket" name="Plastic Bucket" dataDxfId="387">
      <xmlColumnPr mapId="8" xpath="/dataroot/NFI_x005f_x0020_Tracking/Plastic_x005f_x0020_Bucket" xmlDataType="double"/>
    </tableColumn>
    <tableColumn id="25" uniqueName="Plastic Mat" name="Plastic Mat" dataDxfId="386">
      <xmlColumnPr mapId="8" xpath="/dataroot/NFI_x005f_x0020_Tracking/Plastic_x005f_x0020_Mat" xmlDataType="double"/>
    </tableColumn>
    <tableColumn id="47" uniqueName="Winter Clothes Adult" name="Winter Clothes Adult" dataDxfId="385">
      <xmlColumnPr mapId="8" xpath="/dataroot/NFI_x005f_x0020_Tracking/Winter_x005f_x0020_Clothes_x005f_x0020_Adult" xmlDataType="string"/>
    </tableColumn>
    <tableColumn id="46" uniqueName="Winter Clothes Children" name="Winter Clothes Children" dataDxfId="384">
      <xmlColumnPr mapId="8" xpath="/dataroot/NFI_x005f_x0020_Tracking/Winter_x005f_x0020_Clothes_x005f_x0020_Children" xmlDataType="string"/>
    </tableColumn>
    <tableColumn id="45" uniqueName="Winter Items Other" name="Winter Items Other" dataDxfId="383">
      <xmlColumnPr mapId="8" xpath="/dataroot/NFI_x005f_x0020_Tracking/Winter_x005f_x0020_Items_x005f_x0020_Other" xmlDataType="string"/>
    </tableColumn>
    <tableColumn id="32" uniqueName="Winter Blanket" name="Winter Blanket" dataDxfId="382">
      <xmlColumnPr mapId="8" xpath="/dataroot/NFI_x005f_x0020_Tracking/Winter_x005f_x0020_Blanket" xmlDataType="string"/>
    </tableColumn>
    <tableColumn id="38" uniqueName="38" name="Jerry Can" dataDxfId="381"/>
    <tableColumn id="23" uniqueName="23" name="Solar lamps" dataDxfId="380"/>
    <tableColumn id="41" uniqueName="41" name="Shelter Tool kit" dataDxfId="379"/>
    <tableColumn id="40" uniqueName="40" name="Tent" dataDxfId="378"/>
    <tableColumn id="16" uniqueName="NFI Core Kit_LS" name="NFI Core Kit_LS" dataDxfId="377">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6">
      <calculatedColumnFormula>IF(NFI_Expiration=1,IF(#REF!&lt;VLOOKUP(M$5,NFI,5,0),1,0)*Table_NFI[[#This Row],[Sanitary Kit]],Table_NFI[Sanitary Kit])</calculatedColumnFormula>
      <xmlColumnPr mapId="8" xpath="/dataroot/NFI_x005f_x0020_Tracking/Sanitary_x005f_x0020_Kit_LS" xmlDataType="string"/>
    </tableColumn>
    <tableColumn id="18" uniqueName="Mosquito net_LS" name="Mosquito net_LS" dataDxfId="375">
      <calculatedColumnFormula>IF(NFI_Expiration=1,IF(#REF!&lt;VLOOKUP(N$5,NFI,5,0),1,0)*Table_NFI[[#This Row],[Mosquito net]],Table_NFI[Mosquito net])</calculatedColumnFormula>
      <xmlColumnPr mapId="8" xpath="/dataroot/NFI_x005f_x0020_Tracking/Mosquito_x005f_x0020_net_LS" xmlDataType="string"/>
    </tableColumn>
    <tableColumn id="19" uniqueName="Tarpaulin_LS" name="Tarpaulin_LS" dataDxfId="374">
      <calculatedColumnFormula>IF(NFI_Expiration=1,IF(#REF!&lt;VLOOKUP(O$5,NFI,5,0),1,0)*Table_NFI[[#This Row],[Tarpaulin]],Table_NFI[[#This Row],[Tarpaulin]])</calculatedColumnFormula>
      <xmlColumnPr mapId="8" xpath="/dataroot/NFI_x005f_x0020_Tracking/Tarpaulin_LS" xmlDataType="string"/>
    </tableColumn>
    <tableColumn id="20" uniqueName="Blanket_LS" name="Blanket_LS" dataDxfId="373">
      <calculatedColumnFormula>IF(NFI_Expiration=1,IF(#REF!&lt;VLOOKUP(P$5,NFI,5,0),1,0)*Table_NFI[[#This Row],[Blanket]],Table_NFI[[#This Row],[Blanket]])</calculatedColumnFormula>
      <xmlColumnPr mapId="8" xpath="/dataroot/NFI_x005f_x0020_Tracking/Blanket_LS" xmlDataType="string"/>
    </tableColumn>
    <tableColumn id="21" uniqueName="Kitchen Set_LS" name="Kitchen Set_LS" dataDxfId="372">
      <calculatedColumnFormula>IF(NFI_Expiration=1,IF(#REF!&lt;VLOOKUP(Q$5,NFI,5,0),1,0)*Table_NFI[[#This Row],[Kitchen Set]],Table_NFI[Kitchen Set])</calculatedColumnFormula>
      <xmlColumnPr mapId="8" xpath="/dataroot/NFI_x005f_x0020_Tracking/Kitchen_x005f_x0020_Set_LS" xmlDataType="string"/>
    </tableColumn>
    <tableColumn id="22" uniqueName="Clothes Kit_LS" name="Clothes Kit_LS" dataDxfId="371">
      <calculatedColumnFormula>IF(NFI_Expiration=1,IF(#REF!&lt;VLOOKUP(R$5,NFI,5,0),1,0)*Table_NFI[[#This Row],[Clothes Kit]],Table_NFI[Clothes Kit])</calculatedColumnFormula>
      <xmlColumnPr mapId="8" xpath="/dataroot/NFI_x005f_x0020_Tracking/Clothes_x005f_x0020_Kit_LS" xmlDataType="string"/>
    </tableColumn>
    <tableColumn id="28" uniqueName="Plastic Bucket _LS" name="Plastic Bucket _LS" dataDxfId="370">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69">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68">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7">
      <xmlColumnPr mapId="8" xpath="/dataroot/NFI_x005f_x0020_Tracking/Winter_x005f_x0020_Clothes_x005f_x0020_Children_LS" xmlDataType="string"/>
    </tableColumn>
    <tableColumn id="48" uniqueName="Winter Items Other_LS" name="Winter Items Other_LS" dataDxfId="366">
      <xmlColumnPr mapId="8" xpath="/dataroot/NFI_x005f_x0020_Tracking/Winter_x005f_x0020_Items_x005f_x0020_Other_LS" xmlDataType="string"/>
    </tableColumn>
    <tableColumn id="33" uniqueName="Winter Blanket_LS" name="Winter Blanket_LS" dataDxfId="365">
      <xmlColumnPr mapId="8" xpath="/dataroot/NFI_x005f_x0020_Tracking/Winter_x005f_x0020_Blanket_LS" xmlDataType="string"/>
    </tableColumn>
    <tableColumn id="36" uniqueName="Winter" name="Winter" dataDxfId="364">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63"/>
    <tableColumn id="42" uniqueName="42" name="Shelter Tool kit_LS" dataDxfId="362"/>
    <tableColumn id="43" uniqueName="43" name="Tent_LS" dataDxfId="361"/>
    <tableColumn id="24" uniqueName="Pcode" name="Pcode" dataDxfId="360">
      <calculatedColumnFormula>IFERROR(VLOOKUP(Table_NFI[[#This Row],[Location]],CL,2,0),"")</calculatedColumnFormula>
      <xmlColumnPr mapId="8" xpath="/dataroot/NFI_x005f_x0020_Tracking/Pcode" xmlDataType="string"/>
    </tableColumn>
    <tableColumn id="37" uniqueName="Comment" name="Comment" dataDxfId="359">
      <xmlColumnPr mapId="8" xpath="/dataroot/NFI_x005f_x0020_Tracking/Comment" xmlDataType="string"/>
    </tableColumn>
  </tableColumns>
  <tableStyleInfo name="TableStyleMedium9" showFirstColumn="0" showLastColumn="0" showRowStripes="1" showColumnStripes="0"/>
</table>
</file>

<file path=xl/tables/table8.xml><?xml version="1.0" encoding="utf-8"?>
<table xmlns="http://schemas.openxmlformats.org/spreadsheetml/2006/main" id="10" name="Table10" displayName="Table10" ref="A1:N168" totalsRowShown="0" headerRowDxfId="356" headerRowBorderDxfId="355" tableBorderDxfId="354" totalsRowBorderDxfId="353">
  <autoFilter ref="A1:N168"/>
  <tableColumns count="14">
    <tableColumn id="5" name="Pcode" dataDxfId="352"/>
    <tableColumn id="2" name="Priority" dataDxfId="351">
      <calculatedColumnFormula>OFFSET(#REF!,MATCH(Table10[[#This Row],[Pcode]],CampList[CP_Pcode],0)-1,0,1,1)</calculatedColumnFormula>
    </tableColumn>
    <tableColumn id="1" name="Camp" dataDxfId="350">
      <calculatedColumnFormula>OFFSET(CampList[Camp],MATCH(Table10[[#This Row],[Pcode]],CampList[CP_Pcode],0)-1,0,1,1)</calculatedColumnFormula>
    </tableColumn>
    <tableColumn id="4" name="Township" dataDxfId="349">
      <calculatedColumnFormula>OFFSET(CampList[Township],MATCH(Table10[[#This Row],[Pcode]],CampList[CP_Pcode],0)-1,0,1,1)</calculatedColumnFormula>
    </tableColumn>
    <tableColumn id="6" name="HH" dataDxfId="348">
      <calculatedColumnFormula>OFFSET(CampList[HH],MATCH(Table10[[#This Row],[Pcode]],CampList[CP_Pcode],0)-1,0,1,1)</calculatedColumnFormula>
    </tableColumn>
    <tableColumn id="7" name="Ind" dataDxfId="347">
      <calculatedColumnFormula>OFFSET(CampList[Total],MATCH(Table10[[#This Row],[Pcode]],CampList[CP_Pcode],0)-1,0,1,1)</calculatedColumnFormula>
    </tableColumn>
    <tableColumn id="8" name="Winter Clothes Adult " dataDxfId="346">
      <calculatedColumnFormula>SUMIF('NFI Distributions'!AU$53:AU$1048576,Table10[[#This Row],[Pcode]],'NFI Distributions'!AM$53:AM$1048576)</calculatedColumnFormula>
    </tableColumn>
    <tableColumn id="9" name="Winter Clothes Children " dataDxfId="345">
      <calculatedColumnFormula>SUMIF('NFI Distributions'!AU$53:AU$1048576,Table10[[#This Row],[Pcode]],'NFI Distributions'!AN$53:AN$1048576)</calculatedColumnFormula>
    </tableColumn>
    <tableColumn id="10" name="Winter Items Other " dataDxfId="344">
      <calculatedColumnFormula>SUMIF('NFI Distributions'!AU$53:AU$1048576,Table10[[#This Row],[Pcode]],'NFI Distributions'!AO$53:AO$1048576)</calculatedColumnFormula>
    </tableColumn>
    <tableColumn id="11" name="WC_Adult_Gap" dataDxfId="343">
      <calculatedColumnFormula>MAX(Table10[[#This Row],[HH]]*VLOOKUP("Winter Clothes Adult",NFI,6)-Table10[[#This Row],[Winter Clothes Adult ]],0)</calculatedColumnFormula>
    </tableColumn>
    <tableColumn id="12" name="WC_Child_Gap" dataDxfId="342">
      <calculatedColumnFormula>MAX(Table10[[#This Row],[HH]]*VLOOKUP("Winter Clothes Children ",NFI,6)-Table10[[#This Row],[Winter Clothes Children ]],0)</calculatedColumnFormula>
    </tableColumn>
    <tableColumn id="13" name="WI_Other_Gap" dataDxfId="341">
      <calculatedColumnFormula>MAX(Table10[[#This Row],[HH]]*VLOOKUP("Winter Items Other ",NFI,6)-Table10[[#This Row],[Winter Items Other ]],0)</calculatedColumnFormula>
    </tableColumn>
    <tableColumn id="3" name="Planned Distribution" dataDxfId="340">
      <calculatedColumnFormula>IF(OR(Table10[[#This Row],[Winter Clothes Adult ]]&lt;&gt;0,Table10[[#This Row],[Winter Clothes Children ]]&lt;&gt;0,Table10[[#This Row],[Winter Items Other ]]&lt;&gt;0),"No","")</calculatedColumnFormula>
    </tableColumn>
    <tableColumn id="14" name="Check1" dataDxfId="339">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319" dataDxfId="318">
  <autoFilter ref="J1:J4"/>
  <tableColumns count="1">
    <tableColumn id="1" name="State" dataDxfId="3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4.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I297"/>
  <sheetViews>
    <sheetView showGridLines="0" showZeros="0" zoomScaleNormal="100" workbookViewId="0">
      <selection activeCell="S315" sqref="S315"/>
    </sheetView>
  </sheetViews>
  <sheetFormatPr defaultColWidth="8.88671875" defaultRowHeight="15.6" customHeight="1" x14ac:dyDescent="0.3"/>
  <cols>
    <col min="1" max="1" width="1.33203125" style="186" customWidth="1"/>
    <col min="2" max="2" width="7" style="256" customWidth="1"/>
    <col min="3" max="3" width="11.88671875" style="256" customWidth="1"/>
    <col min="4" max="4" width="9.33203125" style="622" customWidth="1"/>
    <col min="5" max="5" width="11" style="622" customWidth="1"/>
    <col min="6" max="6" width="13.33203125" style="622" bestFit="1" customWidth="1"/>
    <col min="7" max="7" width="16.88671875" style="622" customWidth="1"/>
    <col min="8" max="8" width="13" style="622" bestFit="1" customWidth="1"/>
    <col min="9" max="9" width="29.5546875" style="622" customWidth="1"/>
    <col min="10" max="10" width="15.33203125" style="622" bestFit="1" customWidth="1"/>
    <col min="11" max="11" width="34.88671875" style="622" bestFit="1" customWidth="1"/>
    <col min="12" max="12" width="19" style="622" customWidth="1"/>
    <col min="13" max="13" width="39.44140625" style="622" customWidth="1"/>
    <col min="14" max="14" width="15.6640625" style="622" bestFit="1" customWidth="1"/>
    <col min="15" max="15" width="14.5546875" style="623" customWidth="1"/>
    <col min="16" max="16" width="12.88671875" style="623" bestFit="1" customWidth="1"/>
    <col min="17" max="17" width="6.88671875" style="623" customWidth="1"/>
    <col min="18" max="18" width="10.5546875" style="199" customWidth="1"/>
    <col min="19" max="19" width="10.109375" style="624" customWidth="1"/>
    <col min="20" max="20" width="14.6640625" style="625" customWidth="1"/>
    <col min="21" max="21" width="12.6640625" style="199" customWidth="1"/>
    <col min="22" max="22" width="14" style="199" customWidth="1"/>
    <col min="23" max="23" width="28.88671875" style="199" bestFit="1" customWidth="1"/>
    <col min="24" max="24" width="11" style="199" customWidth="1"/>
    <col min="25" max="25" width="15.109375" style="626" customWidth="1"/>
    <col min="26" max="26" width="18.109375" style="627" customWidth="1"/>
    <col min="27" max="27" width="6.5546875" style="622" customWidth="1"/>
    <col min="28" max="28" width="12.44140625" style="623" customWidth="1"/>
    <col min="29" max="29" width="37.6640625" style="628" customWidth="1"/>
    <col min="30" max="30" width="16.6640625" style="199" customWidth="1"/>
    <col min="31" max="31" width="12.5546875" style="629" customWidth="1"/>
    <col min="32" max="32" width="12.44140625" style="623" customWidth="1"/>
    <col min="33" max="33" width="9.109375" style="186"/>
    <col min="34" max="34" width="9.109375" style="185"/>
    <col min="35" max="35" width="8.88671875" style="185"/>
    <col min="36" max="44" width="8.88671875" style="186"/>
    <col min="45" max="46" width="9.109375" style="186" customWidth="1"/>
    <col min="47" max="16384" width="8.88671875" style="186"/>
  </cols>
  <sheetData>
    <row r="1" spans="2:35" ht="8.4" customHeight="1" x14ac:dyDescent="0.3"/>
    <row r="2" spans="2:35" s="185" customFormat="1" ht="15.6" customHeight="1" x14ac:dyDescent="0.3">
      <c r="B2" s="607" t="s">
        <v>1295</v>
      </c>
      <c r="C2" s="608"/>
      <c r="D2" s="608"/>
      <c r="E2" s="608"/>
      <c r="F2" s="608"/>
      <c r="G2" s="608"/>
      <c r="H2" s="608"/>
      <c r="I2" s="608" t="s">
        <v>1392</v>
      </c>
      <c r="J2" s="608"/>
      <c r="K2" s="564"/>
      <c r="L2" s="608"/>
      <c r="M2" s="732" t="s">
        <v>1399</v>
      </c>
      <c r="N2" s="608"/>
      <c r="O2" s="609"/>
      <c r="P2" s="609"/>
      <c r="Q2" s="609"/>
      <c r="R2" s="564"/>
      <c r="S2" s="564"/>
      <c r="T2" s="610"/>
      <c r="U2" s="611"/>
      <c r="V2" s="611"/>
      <c r="W2" s="611"/>
      <c r="X2" s="611"/>
      <c r="Y2" s="612"/>
      <c r="Z2" s="613"/>
      <c r="AA2" s="608"/>
      <c r="AB2" s="609"/>
      <c r="AC2" s="630"/>
      <c r="AD2" s="631"/>
      <c r="AE2" s="632"/>
      <c r="AF2" s="633"/>
    </row>
    <row r="3" spans="2:35" s="185" customFormat="1" ht="45" customHeight="1" x14ac:dyDescent="0.3">
      <c r="B3" s="730">
        <f>Definition!B23</f>
        <v>43191</v>
      </c>
      <c r="C3" s="731"/>
      <c r="D3" s="731"/>
      <c r="E3" s="614"/>
      <c r="F3" s="614"/>
      <c r="G3" s="614"/>
      <c r="H3" s="614"/>
      <c r="I3" s="615" t="s">
        <v>1579</v>
      </c>
      <c r="J3" s="614"/>
      <c r="K3" s="616"/>
      <c r="L3" s="614"/>
      <c r="M3" s="733"/>
      <c r="N3" s="615"/>
      <c r="O3" s="617"/>
      <c r="P3" s="617"/>
      <c r="Q3" s="617"/>
      <c r="R3" s="565"/>
      <c r="S3" s="565"/>
      <c r="T3" s="618"/>
      <c r="U3" s="619"/>
      <c r="V3" s="619"/>
      <c r="W3" s="619"/>
      <c r="X3" s="619"/>
      <c r="Y3" s="620"/>
      <c r="Z3" s="621"/>
      <c r="AA3" s="614"/>
      <c r="AB3" s="617"/>
      <c r="AC3" s="634"/>
      <c r="AD3" s="635"/>
      <c r="AE3" s="636"/>
      <c r="AF3" s="637"/>
    </row>
    <row r="4" spans="2:35" s="643" customFormat="1" ht="15.75" customHeight="1" x14ac:dyDescent="0.3">
      <c r="B4" s="203" t="s">
        <v>458</v>
      </c>
      <c r="C4" s="203" t="s">
        <v>392</v>
      </c>
      <c r="D4" s="638" t="s">
        <v>827</v>
      </c>
      <c r="E4" s="203" t="s">
        <v>477</v>
      </c>
      <c r="F4" s="638" t="s">
        <v>828</v>
      </c>
      <c r="G4" s="203" t="s">
        <v>0</v>
      </c>
      <c r="H4" s="638" t="s">
        <v>829</v>
      </c>
      <c r="I4" s="203" t="s">
        <v>830</v>
      </c>
      <c r="J4" s="638" t="s">
        <v>831</v>
      </c>
      <c r="K4" s="203" t="s">
        <v>476</v>
      </c>
      <c r="L4" s="638" t="s">
        <v>832</v>
      </c>
      <c r="M4" s="203" t="s">
        <v>507</v>
      </c>
      <c r="N4" s="203" t="s">
        <v>833</v>
      </c>
      <c r="O4" s="203" t="s">
        <v>1</v>
      </c>
      <c r="P4" s="343" t="s">
        <v>1084</v>
      </c>
      <c r="Q4" s="639" t="s">
        <v>780</v>
      </c>
      <c r="R4" s="343" t="s">
        <v>2</v>
      </c>
      <c r="S4" s="209" t="s">
        <v>3</v>
      </c>
      <c r="T4" s="215" t="s">
        <v>451</v>
      </c>
      <c r="U4" s="203" t="s">
        <v>457</v>
      </c>
      <c r="V4" s="343" t="s">
        <v>1036</v>
      </c>
      <c r="W4" s="203" t="s">
        <v>398</v>
      </c>
      <c r="X4" s="343" t="s">
        <v>781</v>
      </c>
      <c r="Y4" s="644" t="s">
        <v>782</v>
      </c>
      <c r="Z4" s="343" t="s">
        <v>834</v>
      </c>
      <c r="AA4" s="320" t="s">
        <v>452</v>
      </c>
      <c r="AB4" s="216" t="s">
        <v>461</v>
      </c>
      <c r="AC4" s="217" t="s">
        <v>456</v>
      </c>
      <c r="AD4" s="203" t="s">
        <v>993</v>
      </c>
      <c r="AE4" s="566" t="s">
        <v>994</v>
      </c>
      <c r="AF4" s="566" t="s">
        <v>1015</v>
      </c>
      <c r="AH4" s="343"/>
      <c r="AI4" s="343"/>
    </row>
    <row r="5" spans="2:35" ht="15.75" customHeight="1" x14ac:dyDescent="0.3">
      <c r="B5" s="218" t="s">
        <v>460</v>
      </c>
      <c r="C5" s="212" t="s">
        <v>378</v>
      </c>
      <c r="D5" s="212" t="s">
        <v>478</v>
      </c>
      <c r="E5" s="212" t="s">
        <v>237</v>
      </c>
      <c r="F5" s="212" t="s">
        <v>484</v>
      </c>
      <c r="G5" s="212" t="s">
        <v>237</v>
      </c>
      <c r="H5" s="212" t="s">
        <v>488</v>
      </c>
      <c r="I5" s="212" t="s">
        <v>611</v>
      </c>
      <c r="J5" s="212" t="s">
        <v>612</v>
      </c>
      <c r="K5" s="212" t="s">
        <v>616</v>
      </c>
      <c r="L5" s="212" t="s">
        <v>617</v>
      </c>
      <c r="M5" s="212" t="s">
        <v>238</v>
      </c>
      <c r="N5" s="212" t="s">
        <v>236</v>
      </c>
      <c r="O5" s="219">
        <v>97.386718999999999</v>
      </c>
      <c r="P5" s="219">
        <v>25.415482000000001</v>
      </c>
      <c r="Q5" s="220">
        <v>0</v>
      </c>
      <c r="R5" s="292">
        <v>73</v>
      </c>
      <c r="S5" s="292">
        <v>406</v>
      </c>
      <c r="T5" s="222">
        <f>IF(CampList[[#This Row],[HH]]&gt;0,CampList[[#This Row],[Total]]/CampList[[#This Row],[HH]],"NA")</f>
        <v>5.5616438356164384</v>
      </c>
      <c r="U5" s="214" t="s">
        <v>464</v>
      </c>
      <c r="V5" s="214" t="s">
        <v>995</v>
      </c>
      <c r="W5" s="214" t="s">
        <v>507</v>
      </c>
      <c r="X5" s="214" t="s">
        <v>742</v>
      </c>
      <c r="Y5" s="331">
        <v>40695</v>
      </c>
      <c r="Z5" s="223" t="s">
        <v>424</v>
      </c>
      <c r="AA5" s="212" t="s">
        <v>774</v>
      </c>
      <c r="AB5" s="225">
        <v>43235</v>
      </c>
      <c r="AC5" s="226" t="s">
        <v>1733</v>
      </c>
      <c r="AD5" s="214" t="str">
        <f ca="1">IFERROR(OFFSET(DistanceToCamp[Nearest Town],MATCH(CampList[[#This Row],[CP_Pcode]],DistanceToCamp[CP_Pcode],0)-1,0,1,1),"")</f>
        <v>Myitkyina Town</v>
      </c>
      <c r="AE5" s="227">
        <f ca="1">IFERROR(OFFSET(DistanceToCamp[distance],MATCH(CampList[[#This Row],[CP_Pcode]],DistanceToCamp[CP_Pcode],0)-1,0,1,1),"")</f>
        <v>3.1341427522963001</v>
      </c>
      <c r="AF5" s="228">
        <f ca="1">IFERROR(INT(CampList[[#This Row],[Distance]]/5)+1,"")</f>
        <v>1</v>
      </c>
    </row>
    <row r="6" spans="2:35" ht="15.75" customHeight="1" x14ac:dyDescent="0.3">
      <c r="B6" s="218" t="s">
        <v>460</v>
      </c>
      <c r="C6" s="212" t="s">
        <v>378</v>
      </c>
      <c r="D6" s="212" t="s">
        <v>478</v>
      </c>
      <c r="E6" s="212" t="s">
        <v>237</v>
      </c>
      <c r="F6" s="212" t="s">
        <v>484</v>
      </c>
      <c r="G6" s="212" t="s">
        <v>237</v>
      </c>
      <c r="H6" s="212" t="s">
        <v>488</v>
      </c>
      <c r="I6" s="212" t="s">
        <v>611</v>
      </c>
      <c r="J6" s="212" t="s">
        <v>612</v>
      </c>
      <c r="K6" s="212" t="s">
        <v>620</v>
      </c>
      <c r="L6" s="212"/>
      <c r="M6" s="212" t="s">
        <v>268</v>
      </c>
      <c r="N6" s="212" t="s">
        <v>267</v>
      </c>
      <c r="O6" s="219">
        <v>97.394547000000003</v>
      </c>
      <c r="P6" s="219">
        <v>25.422194000000001</v>
      </c>
      <c r="Q6" s="220">
        <v>0</v>
      </c>
      <c r="R6" s="292">
        <v>67</v>
      </c>
      <c r="S6" s="292">
        <v>296</v>
      </c>
      <c r="T6" s="222">
        <f>IF(CampList[[#This Row],[HH]]&gt;0,CampList[[#This Row],[Total]]/CampList[[#This Row],[HH]],"NA")</f>
        <v>4.4179104477611943</v>
      </c>
      <c r="U6" s="214" t="s">
        <v>464</v>
      </c>
      <c r="V6" s="214" t="s">
        <v>995</v>
      </c>
      <c r="W6" s="214" t="s">
        <v>507</v>
      </c>
      <c r="X6" s="214" t="s">
        <v>742</v>
      </c>
      <c r="Y6" s="331">
        <v>40695</v>
      </c>
      <c r="Z6" s="223" t="s">
        <v>424</v>
      </c>
      <c r="AA6" s="212" t="s">
        <v>774</v>
      </c>
      <c r="AB6" s="225">
        <v>43235</v>
      </c>
      <c r="AC6" s="226" t="s">
        <v>1734</v>
      </c>
      <c r="AD6" s="214" t="str">
        <f ca="1">IFERROR(OFFSET(DistanceToCamp[Nearest Town],MATCH(CampList[[#This Row],[CP_Pcode]],DistanceToCamp[CP_Pcode],0)-1,0,1,1),"")</f>
        <v>Myitkyina Town</v>
      </c>
      <c r="AE6" s="227">
        <f ca="1">IFERROR(OFFSET(DistanceToCamp[distance],MATCH(CampList[[#This Row],[CP_Pcode]],DistanceToCamp[CP_Pcode],0)-1,0,1,1),"")</f>
        <v>3.8820329084732199</v>
      </c>
      <c r="AF6" s="228">
        <f ca="1">IFERROR(INT(CampList[[#This Row],[Distance]]/5)+1,"")</f>
        <v>1</v>
      </c>
    </row>
    <row r="7" spans="2:35" ht="15.75" customHeight="1" x14ac:dyDescent="0.3">
      <c r="B7" s="218" t="s">
        <v>460</v>
      </c>
      <c r="C7" s="212" t="s">
        <v>378</v>
      </c>
      <c r="D7" s="212" t="s">
        <v>478</v>
      </c>
      <c r="E7" s="212" t="s">
        <v>237</v>
      </c>
      <c r="F7" s="212" t="s">
        <v>484</v>
      </c>
      <c r="G7" s="212" t="s">
        <v>237</v>
      </c>
      <c r="H7" s="212" t="s">
        <v>488</v>
      </c>
      <c r="I7" s="212" t="s">
        <v>611</v>
      </c>
      <c r="J7" s="212" t="s">
        <v>612</v>
      </c>
      <c r="K7" s="212" t="s">
        <v>616</v>
      </c>
      <c r="L7" s="212" t="s">
        <v>617</v>
      </c>
      <c r="M7" s="212" t="s">
        <v>250</v>
      </c>
      <c r="N7" s="212" t="s">
        <v>249</v>
      </c>
      <c r="O7" s="219">
        <v>97.377662999999998</v>
      </c>
      <c r="P7" s="219">
        <v>25.404752999999999</v>
      </c>
      <c r="Q7" s="220">
        <v>0</v>
      </c>
      <c r="R7" s="292">
        <v>32</v>
      </c>
      <c r="S7" s="292">
        <v>174</v>
      </c>
      <c r="T7" s="222">
        <f>IF(CampList[[#This Row],[HH]]&gt;0,CampList[[#This Row],[Total]]/CampList[[#This Row],[HH]],"NA")</f>
        <v>5.4375</v>
      </c>
      <c r="U7" s="214" t="s">
        <v>464</v>
      </c>
      <c r="V7" s="214" t="s">
        <v>995</v>
      </c>
      <c r="W7" s="214" t="s">
        <v>507</v>
      </c>
      <c r="X7" s="214" t="s">
        <v>742</v>
      </c>
      <c r="Y7" s="331">
        <v>40725</v>
      </c>
      <c r="Z7" s="223" t="s">
        <v>424</v>
      </c>
      <c r="AA7" s="212" t="s">
        <v>774</v>
      </c>
      <c r="AB7" s="225">
        <v>43235</v>
      </c>
      <c r="AC7" s="226" t="s">
        <v>1735</v>
      </c>
      <c r="AD7" s="214" t="str">
        <f ca="1">IFERROR(OFFSET(DistanceToCamp[Nearest Town],MATCH(CampList[[#This Row],[CP_Pcode]],DistanceToCamp[CP_Pcode],0)-1,0,1,1),"")</f>
        <v>Myitkyina Town</v>
      </c>
      <c r="AE7" s="227">
        <f ca="1">IFERROR(OFFSET(DistanceToCamp[distance],MATCH(CampList[[#This Row],[CP_Pcode]],DistanceToCamp[CP_Pcode],0)-1,0,1,1),"")</f>
        <v>2.3045478259125423</v>
      </c>
      <c r="AF7" s="228">
        <f ca="1">IFERROR(INT(CampList[[#This Row],[Distance]]/5)+1,"")</f>
        <v>1</v>
      </c>
    </row>
    <row r="8" spans="2:35" ht="15.75" customHeight="1" x14ac:dyDescent="0.3">
      <c r="B8" s="218" t="s">
        <v>460</v>
      </c>
      <c r="C8" s="212" t="s">
        <v>378</v>
      </c>
      <c r="D8" s="212" t="s">
        <v>478</v>
      </c>
      <c r="E8" s="212" t="s">
        <v>237</v>
      </c>
      <c r="F8" s="212" t="s">
        <v>484</v>
      </c>
      <c r="G8" s="212" t="s">
        <v>237</v>
      </c>
      <c r="H8" s="212" t="s">
        <v>488</v>
      </c>
      <c r="I8" s="212" t="s">
        <v>611</v>
      </c>
      <c r="J8" s="212" t="s">
        <v>612</v>
      </c>
      <c r="K8" s="212" t="s">
        <v>616</v>
      </c>
      <c r="L8" s="212" t="s">
        <v>617</v>
      </c>
      <c r="M8" s="212" t="s">
        <v>248</v>
      </c>
      <c r="N8" s="212" t="s">
        <v>247</v>
      </c>
      <c r="O8" s="219">
        <v>97.389778000000007</v>
      </c>
      <c r="P8" s="219">
        <v>25.417733999999999</v>
      </c>
      <c r="Q8" s="220">
        <v>0</v>
      </c>
      <c r="R8" s="292">
        <v>7</v>
      </c>
      <c r="S8" s="292">
        <v>31</v>
      </c>
      <c r="T8" s="222">
        <f>IF(CampList[[#This Row],[HH]]&gt;0,CampList[[#This Row],[Total]]/CampList[[#This Row],[HH]],"NA")</f>
        <v>4.4285714285714288</v>
      </c>
      <c r="U8" s="214" t="s">
        <v>464</v>
      </c>
      <c r="V8" s="214" t="s">
        <v>995</v>
      </c>
      <c r="W8" s="214" t="s">
        <v>1597</v>
      </c>
      <c r="X8" s="214" t="s">
        <v>742</v>
      </c>
      <c r="Y8" s="331">
        <v>40756</v>
      </c>
      <c r="Z8" s="223" t="s">
        <v>1322</v>
      </c>
      <c r="AA8" s="212" t="s">
        <v>774</v>
      </c>
      <c r="AB8" s="225">
        <v>43220</v>
      </c>
      <c r="AC8" s="226" t="s">
        <v>1666</v>
      </c>
      <c r="AD8" s="214" t="str">
        <f ca="1">IFERROR(OFFSET(DistanceToCamp[Nearest Town],MATCH(CampList[[#This Row],[CP_Pcode]],DistanceToCamp[CP_Pcode],0)-1,0,1,1),"")</f>
        <v>Myitkyina Town</v>
      </c>
      <c r="AE8" s="227">
        <f ca="1">IFERROR(OFFSET(DistanceToCamp[distance],MATCH(CampList[[#This Row],[CP_Pcode]],DistanceToCamp[CP_Pcode],0)-1,0,1,1),"")</f>
        <v>3.3637010801853577</v>
      </c>
      <c r="AF8" s="228">
        <f ca="1">IFERROR(INT(CampList[[#This Row],[Distance]]/5)+1,"")</f>
        <v>1</v>
      </c>
    </row>
    <row r="9" spans="2:35" ht="15.75" customHeight="1" x14ac:dyDescent="0.3">
      <c r="B9" s="218" t="s">
        <v>460</v>
      </c>
      <c r="C9" s="212" t="s">
        <v>378</v>
      </c>
      <c r="D9" s="212" t="s">
        <v>478</v>
      </c>
      <c r="E9" s="212" t="s">
        <v>237</v>
      </c>
      <c r="F9" s="212" t="s">
        <v>484</v>
      </c>
      <c r="G9" s="212" t="s">
        <v>237</v>
      </c>
      <c r="H9" s="212" t="s">
        <v>488</v>
      </c>
      <c r="I9" s="212" t="s">
        <v>611</v>
      </c>
      <c r="J9" s="212" t="s">
        <v>612</v>
      </c>
      <c r="K9" s="212" t="s">
        <v>616</v>
      </c>
      <c r="L9" s="212" t="s">
        <v>617</v>
      </c>
      <c r="M9" s="212" t="s">
        <v>274</v>
      </c>
      <c r="N9" s="212" t="s">
        <v>273</v>
      </c>
      <c r="O9" s="219">
        <v>97.382192000000003</v>
      </c>
      <c r="P9" s="219">
        <v>25.404015000000001</v>
      </c>
      <c r="Q9" s="220">
        <v>0</v>
      </c>
      <c r="R9" s="292">
        <v>46</v>
      </c>
      <c r="S9" s="292">
        <v>241</v>
      </c>
      <c r="T9" s="222">
        <f>IF(CampList[[#This Row],[HH]]&gt;0,CampList[[#This Row],[Total]]/CampList[[#This Row],[HH]],"NA")</f>
        <v>5.2391304347826084</v>
      </c>
      <c r="U9" s="214" t="s">
        <v>464</v>
      </c>
      <c r="V9" s="214" t="s">
        <v>995</v>
      </c>
      <c r="W9" s="214" t="s">
        <v>507</v>
      </c>
      <c r="X9" s="214" t="s">
        <v>742</v>
      </c>
      <c r="Y9" s="331">
        <v>40817</v>
      </c>
      <c r="Z9" s="223" t="s">
        <v>424</v>
      </c>
      <c r="AA9" s="212" t="s">
        <v>774</v>
      </c>
      <c r="AB9" s="225">
        <v>43235</v>
      </c>
      <c r="AC9" s="226" t="s">
        <v>1736</v>
      </c>
      <c r="AD9" s="214" t="str">
        <f ca="1">IFERROR(OFFSET(DistanceToCamp[Nearest Town],MATCH(CampList[[#This Row],[CP_Pcode]],DistanceToCamp[CP_Pcode],0)-1,0,1,1),"")</f>
        <v>Myitkyina Town</v>
      </c>
      <c r="AE9" s="227">
        <f ca="1">IFERROR(OFFSET(DistanceToCamp[distance],MATCH(CampList[[#This Row],[CP_Pcode]],DistanceToCamp[CP_Pcode],0)-1,0,1,1),"")</f>
        <v>2.0123527499589278</v>
      </c>
      <c r="AF9" s="228">
        <f ca="1">IFERROR(INT(CampList[[#This Row],[Distance]]/5)+1,"")</f>
        <v>1</v>
      </c>
    </row>
    <row r="10" spans="2:35" ht="15.75" customHeight="1" x14ac:dyDescent="0.3">
      <c r="B10" s="218" t="s">
        <v>460</v>
      </c>
      <c r="C10" s="212" t="s">
        <v>378</v>
      </c>
      <c r="D10" s="212" t="s">
        <v>478</v>
      </c>
      <c r="E10" s="212" t="s">
        <v>237</v>
      </c>
      <c r="F10" s="212" t="s">
        <v>484</v>
      </c>
      <c r="G10" s="212" t="s">
        <v>237</v>
      </c>
      <c r="H10" s="212" t="s">
        <v>488</v>
      </c>
      <c r="I10" s="212" t="s">
        <v>611</v>
      </c>
      <c r="J10" s="212" t="s">
        <v>612</v>
      </c>
      <c r="K10" s="212" t="s">
        <v>621</v>
      </c>
      <c r="L10" s="212" t="s">
        <v>622</v>
      </c>
      <c r="M10" s="212" t="s">
        <v>276</v>
      </c>
      <c r="N10" s="212" t="s">
        <v>275</v>
      </c>
      <c r="O10" s="219">
        <v>97.399628000000007</v>
      </c>
      <c r="P10" s="219">
        <v>25.412313000000001</v>
      </c>
      <c r="Q10" s="220">
        <v>0</v>
      </c>
      <c r="R10" s="292">
        <v>118</v>
      </c>
      <c r="S10" s="292">
        <v>569</v>
      </c>
      <c r="T10" s="222">
        <f>IF(CampList[[#This Row],[HH]]&gt;0,CampList[[#This Row],[Total]]/CampList[[#This Row],[HH]],"NA")</f>
        <v>4.8220338983050848</v>
      </c>
      <c r="U10" s="214" t="s">
        <v>464</v>
      </c>
      <c r="V10" s="214" t="s">
        <v>995</v>
      </c>
      <c r="W10" s="214" t="s">
        <v>507</v>
      </c>
      <c r="X10" s="214" t="s">
        <v>742</v>
      </c>
      <c r="Y10" s="331">
        <v>40756</v>
      </c>
      <c r="Z10" s="223" t="s">
        <v>424</v>
      </c>
      <c r="AA10" s="212" t="s">
        <v>774</v>
      </c>
      <c r="AB10" s="225">
        <v>43235</v>
      </c>
      <c r="AC10" s="226" t="s">
        <v>1737</v>
      </c>
      <c r="AD10" s="214" t="str">
        <f ca="1">IFERROR(OFFSET(DistanceToCamp[Nearest Town],MATCH(CampList[[#This Row],[CP_Pcode]],DistanceToCamp[CP_Pcode],0)-1,0,1,1),"")</f>
        <v>Myitkyina Town</v>
      </c>
      <c r="AE10" s="227">
        <f ca="1">IFERROR(OFFSET(DistanceToCamp[distance],MATCH(CampList[[#This Row],[CP_Pcode]],DistanceToCamp[CP_Pcode],0)-1,0,1,1),"")</f>
        <v>2.9133254097712102</v>
      </c>
      <c r="AF10" s="228">
        <f ca="1">IFERROR(INT(CampList[[#This Row],[Distance]]/5)+1,"")</f>
        <v>1</v>
      </c>
    </row>
    <row r="11" spans="2:35" ht="15.75" customHeight="1" x14ac:dyDescent="0.3">
      <c r="B11" s="218" t="s">
        <v>460</v>
      </c>
      <c r="C11" s="212" t="s">
        <v>378</v>
      </c>
      <c r="D11" s="212" t="s">
        <v>478</v>
      </c>
      <c r="E11" s="212" t="s">
        <v>237</v>
      </c>
      <c r="F11" s="212" t="s">
        <v>484</v>
      </c>
      <c r="G11" s="212" t="s">
        <v>237</v>
      </c>
      <c r="H11" s="212" t="s">
        <v>488</v>
      </c>
      <c r="I11" s="212" t="s">
        <v>611</v>
      </c>
      <c r="J11" s="212" t="s">
        <v>612</v>
      </c>
      <c r="K11" s="212" t="s">
        <v>621</v>
      </c>
      <c r="L11" s="212" t="s">
        <v>622</v>
      </c>
      <c r="M11" s="212" t="s">
        <v>278</v>
      </c>
      <c r="N11" s="212" t="s">
        <v>277</v>
      </c>
      <c r="O11" s="219">
        <v>97.418004999999994</v>
      </c>
      <c r="P11" s="219">
        <v>25.423817</v>
      </c>
      <c r="Q11" s="220">
        <v>0</v>
      </c>
      <c r="R11" s="292">
        <v>23</v>
      </c>
      <c r="S11" s="292">
        <v>114</v>
      </c>
      <c r="T11" s="222">
        <f>IF(CampList[[#This Row],[HH]]&gt;0,CampList[[#This Row],[Total]]/CampList[[#This Row],[HH]],"NA")</f>
        <v>4.9565217391304346</v>
      </c>
      <c r="U11" s="214" t="s">
        <v>464</v>
      </c>
      <c r="V11" s="214" t="s">
        <v>995</v>
      </c>
      <c r="W11" s="214" t="s">
        <v>507</v>
      </c>
      <c r="X11" s="214" t="s">
        <v>742</v>
      </c>
      <c r="Y11" s="331">
        <v>40909</v>
      </c>
      <c r="Z11" s="223" t="s">
        <v>462</v>
      </c>
      <c r="AA11" s="212" t="s">
        <v>774</v>
      </c>
      <c r="AB11" s="225">
        <v>43235</v>
      </c>
      <c r="AC11" s="226" t="s">
        <v>1723</v>
      </c>
      <c r="AD11" s="214" t="str">
        <f ca="1">IFERROR(OFFSET(DistanceToCamp[Nearest Town],MATCH(CampList[[#This Row],[CP_Pcode]],DistanceToCamp[CP_Pcode],0)-1,0,1,1),"")</f>
        <v>Myitkyina Town</v>
      </c>
      <c r="AE11" s="227">
        <f ca="1">IFERROR(OFFSET(DistanceToCamp[distance],MATCH(CampList[[#This Row],[CP_Pcode]],DistanceToCamp[CP_Pcode],0)-1,0,1,1),"")</f>
        <v>4.9021696969220816</v>
      </c>
      <c r="AF11" s="228">
        <f ca="1">IFERROR(INT(CampList[[#This Row],[Distance]]/5)+1,"")</f>
        <v>1</v>
      </c>
    </row>
    <row r="12" spans="2:35" ht="15.75" customHeight="1" x14ac:dyDescent="0.3">
      <c r="B12" s="218" t="s">
        <v>460</v>
      </c>
      <c r="C12" s="212" t="s">
        <v>378</v>
      </c>
      <c r="D12" s="212" t="s">
        <v>478</v>
      </c>
      <c r="E12" s="212" t="s">
        <v>237</v>
      </c>
      <c r="F12" s="212" t="s">
        <v>484</v>
      </c>
      <c r="G12" s="212" t="s">
        <v>237</v>
      </c>
      <c r="H12" s="212" t="s">
        <v>488</v>
      </c>
      <c r="I12" s="226" t="s">
        <v>611</v>
      </c>
      <c r="J12" s="226" t="s">
        <v>612</v>
      </c>
      <c r="K12" s="226" t="s">
        <v>629</v>
      </c>
      <c r="L12" s="226" t="s">
        <v>630</v>
      </c>
      <c r="M12" s="212" t="s">
        <v>260</v>
      </c>
      <c r="N12" s="212" t="s">
        <v>259</v>
      </c>
      <c r="O12" s="219">
        <v>97.418694000000002</v>
      </c>
      <c r="P12" s="219">
        <v>25.428910999999999</v>
      </c>
      <c r="Q12" s="220">
        <v>0</v>
      </c>
      <c r="R12" s="292">
        <v>103</v>
      </c>
      <c r="S12" s="292">
        <v>586</v>
      </c>
      <c r="T12" s="222">
        <f>IF(CampList[[#This Row],[HH]]&gt;0,CampList[[#This Row],[Total]]/CampList[[#This Row],[HH]],"NA")</f>
        <v>5.6893203883495147</v>
      </c>
      <c r="U12" s="214" t="s">
        <v>464</v>
      </c>
      <c r="V12" s="214" t="s">
        <v>995</v>
      </c>
      <c r="W12" s="214" t="s">
        <v>507</v>
      </c>
      <c r="X12" s="214" t="s">
        <v>742</v>
      </c>
      <c r="Y12" s="331">
        <v>40725</v>
      </c>
      <c r="Z12" s="223" t="s">
        <v>424</v>
      </c>
      <c r="AA12" s="239" t="s">
        <v>774</v>
      </c>
      <c r="AB12" s="225">
        <v>43235</v>
      </c>
      <c r="AC12" s="218" t="s">
        <v>1738</v>
      </c>
      <c r="AD12" s="214" t="str">
        <f ca="1">IFERROR(OFFSET(DistanceToCamp[Nearest Town],MATCH(CampList[[#This Row],[CP_Pcode]],DistanceToCamp[CP_Pcode],0)-1,0,1,1),"")</f>
        <v>Myitkyina Town</v>
      </c>
      <c r="AE12" s="227">
        <f ca="1">IFERROR(OFFSET(DistanceToCamp[distance],MATCH(CampList[[#This Row],[CP_Pcode]],DistanceToCamp[CP_Pcode],0)-1,0,1,1),"")</f>
        <v>5.4145379230647226</v>
      </c>
      <c r="AF12" s="228">
        <f ca="1">IFERROR(INT(CampList[[#This Row],[Distance]]/5)+1,"")</f>
        <v>2</v>
      </c>
    </row>
    <row r="13" spans="2:35" ht="15.75" customHeight="1" x14ac:dyDescent="0.3">
      <c r="B13" s="218" t="s">
        <v>460</v>
      </c>
      <c r="C13" s="212" t="s">
        <v>378</v>
      </c>
      <c r="D13" s="212" t="s">
        <v>478</v>
      </c>
      <c r="E13" s="212" t="s">
        <v>237</v>
      </c>
      <c r="F13" s="212" t="s">
        <v>484</v>
      </c>
      <c r="G13" s="212" t="s">
        <v>237</v>
      </c>
      <c r="H13" s="212" t="s">
        <v>488</v>
      </c>
      <c r="I13" s="212" t="s">
        <v>611</v>
      </c>
      <c r="J13" s="212" t="s">
        <v>612</v>
      </c>
      <c r="K13" s="212" t="s">
        <v>631</v>
      </c>
      <c r="L13" s="212" t="s">
        <v>632</v>
      </c>
      <c r="M13" s="212" t="s">
        <v>280</v>
      </c>
      <c r="N13" s="212" t="s">
        <v>279</v>
      </c>
      <c r="O13" s="219">
        <v>97.419403000000003</v>
      </c>
      <c r="P13" s="219">
        <v>25.440928</v>
      </c>
      <c r="Q13" s="220">
        <v>0</v>
      </c>
      <c r="R13" s="292">
        <v>91</v>
      </c>
      <c r="S13" s="292">
        <v>511</v>
      </c>
      <c r="T13" s="222">
        <f>IF(CampList[[#This Row],[HH]]&gt;0,CampList[[#This Row],[Total]]/CampList[[#This Row],[HH]],"NA")</f>
        <v>5.615384615384615</v>
      </c>
      <c r="U13" s="214" t="s">
        <v>464</v>
      </c>
      <c r="V13" s="214" t="s">
        <v>995</v>
      </c>
      <c r="W13" s="214" t="s">
        <v>507</v>
      </c>
      <c r="X13" s="214" t="s">
        <v>742</v>
      </c>
      <c r="Y13" s="331">
        <v>40725</v>
      </c>
      <c r="Z13" s="223" t="s">
        <v>424</v>
      </c>
      <c r="AA13" s="212" t="s">
        <v>774</v>
      </c>
      <c r="AB13" s="225">
        <v>43235</v>
      </c>
      <c r="AC13" s="226" t="s">
        <v>1739</v>
      </c>
      <c r="AD13" s="214" t="str">
        <f ca="1">IFERROR(OFFSET(DistanceToCamp[Nearest Town],MATCH(CampList[[#This Row],[CP_Pcode]],DistanceToCamp[CP_Pcode],0)-1,0,1,1),"")</f>
        <v>Myitkyina Town</v>
      </c>
      <c r="AE13" s="227">
        <f ca="1">IFERROR(OFFSET(DistanceToCamp[distance],MATCH(CampList[[#This Row],[CP_Pcode]],DistanceToCamp[CP_Pcode],0)-1,0,1,1),"")</f>
        <v>6.6198004689728469</v>
      </c>
      <c r="AF13" s="228">
        <f ca="1">IFERROR(INT(CampList[[#This Row],[Distance]]/5)+1,"")</f>
        <v>2</v>
      </c>
    </row>
    <row r="14" spans="2:35" ht="15.75" customHeight="1" x14ac:dyDescent="0.3">
      <c r="B14" s="218" t="s">
        <v>460</v>
      </c>
      <c r="C14" s="212" t="s">
        <v>378</v>
      </c>
      <c r="D14" s="212" t="s">
        <v>478</v>
      </c>
      <c r="E14" s="212" t="s">
        <v>237</v>
      </c>
      <c r="F14" s="212" t="s">
        <v>484</v>
      </c>
      <c r="G14" s="212" t="s">
        <v>237</v>
      </c>
      <c r="H14" s="212" t="s">
        <v>488</v>
      </c>
      <c r="I14" s="226" t="s">
        <v>611</v>
      </c>
      <c r="J14" s="226" t="s">
        <v>612</v>
      </c>
      <c r="K14" s="226" t="s">
        <v>618</v>
      </c>
      <c r="L14" s="226" t="s">
        <v>619</v>
      </c>
      <c r="M14" s="212" t="s">
        <v>1525</v>
      </c>
      <c r="N14" s="212" t="s">
        <v>244</v>
      </c>
      <c r="O14" s="219">
        <v>97.382997575757599</v>
      </c>
      <c r="P14" s="219">
        <v>25.3959740909091</v>
      </c>
      <c r="Q14" s="220">
        <v>0</v>
      </c>
      <c r="R14" s="329">
        <v>42</v>
      </c>
      <c r="S14" s="330">
        <v>184</v>
      </c>
      <c r="T14" s="222">
        <f>IF(CampList[[#This Row],[HH]]&gt;0,CampList[[#This Row],[Total]]/CampList[[#This Row],[HH]],"NA")</f>
        <v>4.3809523809523814</v>
      </c>
      <c r="U14" s="214" t="s">
        <v>464</v>
      </c>
      <c r="V14" s="214" t="s">
        <v>995</v>
      </c>
      <c r="W14" s="214" t="s">
        <v>507</v>
      </c>
      <c r="X14" s="214" t="s">
        <v>742</v>
      </c>
      <c r="Y14" s="331">
        <v>40695</v>
      </c>
      <c r="Z14" s="223" t="s">
        <v>424</v>
      </c>
      <c r="AA14" s="213" t="s">
        <v>774</v>
      </c>
      <c r="AB14" s="225">
        <v>43235</v>
      </c>
      <c r="AC14" s="218" t="s">
        <v>1740</v>
      </c>
      <c r="AD14" s="214" t="str">
        <f ca="1">IFERROR(OFFSET(DistanceToCamp[Nearest Town],MATCH(CampList[[#This Row],[CP_Pcode]],DistanceToCamp[CP_Pcode],0)-1,0,1,1),"")</f>
        <v>Myitkyina Town</v>
      </c>
      <c r="AE14" s="227">
        <f ca="1">IFERROR(OFFSET(DistanceToCamp[distance],MATCH(CampList[[#This Row],[CP_Pcode]],DistanceToCamp[CP_Pcode],0)-1,0,1,1),"")</f>
        <v>1.1985969617964649</v>
      </c>
      <c r="AF14" s="228">
        <f ca="1">IFERROR(INT(CampList[[#This Row],[Distance]]/5)+1,"")</f>
        <v>1</v>
      </c>
    </row>
    <row r="15" spans="2:35" ht="15.75" customHeight="1" x14ac:dyDescent="0.3">
      <c r="B15" s="218" t="s">
        <v>460</v>
      </c>
      <c r="C15" s="212" t="s">
        <v>378</v>
      </c>
      <c r="D15" s="212" t="s">
        <v>478</v>
      </c>
      <c r="E15" s="212" t="s">
        <v>237</v>
      </c>
      <c r="F15" s="212" t="s">
        <v>484</v>
      </c>
      <c r="G15" s="212" t="s">
        <v>237</v>
      </c>
      <c r="H15" s="212" t="s">
        <v>488</v>
      </c>
      <c r="I15" s="226" t="s">
        <v>611</v>
      </c>
      <c r="J15" s="226" t="s">
        <v>612</v>
      </c>
      <c r="K15" s="226" t="s">
        <v>625</v>
      </c>
      <c r="L15" s="226" t="s">
        <v>626</v>
      </c>
      <c r="M15" s="212" t="s">
        <v>256</v>
      </c>
      <c r="N15" s="212" t="s">
        <v>255</v>
      </c>
      <c r="O15" s="219">
        <v>97.405202777777802</v>
      </c>
      <c r="P15" s="219">
        <v>25.3660036111111</v>
      </c>
      <c r="Q15" s="220">
        <v>0</v>
      </c>
      <c r="R15" s="292">
        <v>44</v>
      </c>
      <c r="S15" s="292">
        <v>197</v>
      </c>
      <c r="T15" s="222">
        <f>IF(CampList[[#This Row],[HH]]&gt;0,CampList[[#This Row],[Total]]/CampList[[#This Row],[HH]],"NA")</f>
        <v>4.4772727272727275</v>
      </c>
      <c r="U15" s="214" t="s">
        <v>464</v>
      </c>
      <c r="V15" s="214" t="s">
        <v>995</v>
      </c>
      <c r="W15" s="214" t="s">
        <v>507</v>
      </c>
      <c r="X15" s="214" t="s">
        <v>742</v>
      </c>
      <c r="Y15" s="331">
        <v>40909</v>
      </c>
      <c r="Z15" s="223" t="s">
        <v>424</v>
      </c>
      <c r="AA15" s="239" t="s">
        <v>774</v>
      </c>
      <c r="AB15" s="225">
        <v>43235</v>
      </c>
      <c r="AC15" s="218" t="s">
        <v>1741</v>
      </c>
      <c r="AD15" s="214" t="str">
        <f ca="1">IFERROR(OFFSET(DistanceToCamp[Nearest Town],MATCH(CampList[[#This Row],[CP_Pcode]],DistanceToCamp[CP_Pcode],0)-1,0,1,1),"")</f>
        <v>Myitkyina Town</v>
      </c>
      <c r="AE15" s="227">
        <f ca="1">IFERROR(OFFSET(DistanceToCamp[distance],MATCH(CampList[[#This Row],[CP_Pcode]],DistanceToCamp[CP_Pcode],0)-1,0,1,1),"")</f>
        <v>2.8164250706222882</v>
      </c>
      <c r="AF15" s="228">
        <f ca="1">IFERROR(INT(CampList[[#This Row],[Distance]]/5)+1,"")</f>
        <v>1</v>
      </c>
    </row>
    <row r="16" spans="2:35" ht="15.75" customHeight="1" x14ac:dyDescent="0.3">
      <c r="B16" s="218" t="s">
        <v>460</v>
      </c>
      <c r="C16" s="212" t="s">
        <v>378</v>
      </c>
      <c r="D16" s="212" t="s">
        <v>478</v>
      </c>
      <c r="E16" s="212" t="s">
        <v>237</v>
      </c>
      <c r="F16" s="212" t="s">
        <v>484</v>
      </c>
      <c r="G16" s="212" t="s">
        <v>237</v>
      </c>
      <c r="H16" s="212" t="s">
        <v>488</v>
      </c>
      <c r="I16" s="226" t="s">
        <v>611</v>
      </c>
      <c r="J16" s="226" t="s">
        <v>612</v>
      </c>
      <c r="K16" s="226" t="s">
        <v>627</v>
      </c>
      <c r="L16" s="226" t="s">
        <v>628</v>
      </c>
      <c r="M16" s="212" t="s">
        <v>284</v>
      </c>
      <c r="N16" s="212" t="s">
        <v>283</v>
      </c>
      <c r="O16" s="219">
        <v>97.403402307692303</v>
      </c>
      <c r="P16" s="219">
        <v>25.3510167948718</v>
      </c>
      <c r="Q16" s="220">
        <v>0</v>
      </c>
      <c r="R16" s="292">
        <v>138</v>
      </c>
      <c r="S16" s="292">
        <v>703</v>
      </c>
      <c r="T16" s="222">
        <f>IF(CampList[[#This Row],[HH]]&gt;0,CampList[[#This Row],[Total]]/CampList[[#This Row],[HH]],"NA")</f>
        <v>5.0942028985507246</v>
      </c>
      <c r="U16" s="214" t="s">
        <v>464</v>
      </c>
      <c r="V16" s="214" t="s">
        <v>995</v>
      </c>
      <c r="W16" s="214" t="s">
        <v>507</v>
      </c>
      <c r="X16" s="214" t="s">
        <v>742</v>
      </c>
      <c r="Y16" s="331">
        <v>40695</v>
      </c>
      <c r="Z16" s="223" t="s">
        <v>424</v>
      </c>
      <c r="AA16" s="239" t="s">
        <v>774</v>
      </c>
      <c r="AB16" s="225">
        <v>43235</v>
      </c>
      <c r="AC16" s="218" t="s">
        <v>1742</v>
      </c>
      <c r="AD16" s="214" t="str">
        <f ca="1">IFERROR(OFFSET(DistanceToCamp[Nearest Town],MATCH(CampList[[#This Row],[CP_Pcode]],DistanceToCamp[CP_Pcode],0)-1,0,1,1),"")</f>
        <v>Myitkyina Town</v>
      </c>
      <c r="AE16" s="227">
        <f ca="1">IFERROR(OFFSET(DistanceToCamp[distance],MATCH(CampList[[#This Row],[CP_Pcode]],DistanceToCamp[CP_Pcode],0)-1,0,1,1),"")</f>
        <v>4.262018365878137</v>
      </c>
      <c r="AF16" s="228">
        <f ca="1">IFERROR(INT(CampList[[#This Row],[Distance]]/5)+1,"")</f>
        <v>1</v>
      </c>
    </row>
    <row r="17" spans="2:32" ht="15.75" customHeight="1" x14ac:dyDescent="0.3">
      <c r="B17" s="218" t="s">
        <v>460</v>
      </c>
      <c r="C17" s="212" t="s">
        <v>378</v>
      </c>
      <c r="D17" s="212" t="s">
        <v>478</v>
      </c>
      <c r="E17" s="212" t="s">
        <v>237</v>
      </c>
      <c r="F17" s="212" t="s">
        <v>484</v>
      </c>
      <c r="G17" s="212" t="s">
        <v>237</v>
      </c>
      <c r="H17" s="212" t="s">
        <v>488</v>
      </c>
      <c r="I17" s="226" t="s">
        <v>611</v>
      </c>
      <c r="J17" s="226" t="s">
        <v>612</v>
      </c>
      <c r="K17" s="226" t="s">
        <v>627</v>
      </c>
      <c r="L17" s="226" t="s">
        <v>628</v>
      </c>
      <c r="M17" s="212" t="s">
        <v>240</v>
      </c>
      <c r="N17" s="212" t="s">
        <v>239</v>
      </c>
      <c r="O17" s="219">
        <v>97.409035000000003</v>
      </c>
      <c r="P17" s="219">
        <v>25.362420757575801</v>
      </c>
      <c r="Q17" s="220">
        <v>0</v>
      </c>
      <c r="R17" s="292">
        <v>102</v>
      </c>
      <c r="S17" s="292">
        <v>546</v>
      </c>
      <c r="T17" s="222">
        <f>IF(CampList[[#This Row],[HH]]&gt;0,CampList[[#This Row],[Total]]/CampList[[#This Row],[HH]],"NA")</f>
        <v>5.3529411764705879</v>
      </c>
      <c r="U17" s="214" t="s">
        <v>464</v>
      </c>
      <c r="V17" s="214" t="s">
        <v>995</v>
      </c>
      <c r="W17" s="214" t="s">
        <v>507</v>
      </c>
      <c r="X17" s="214" t="s">
        <v>742</v>
      </c>
      <c r="Y17" s="331">
        <v>40603</v>
      </c>
      <c r="Z17" s="223" t="s">
        <v>424</v>
      </c>
      <c r="AA17" s="239" t="s">
        <v>774</v>
      </c>
      <c r="AB17" s="225">
        <v>43235</v>
      </c>
      <c r="AC17" s="218" t="s">
        <v>1743</v>
      </c>
      <c r="AD17" s="214" t="str">
        <f ca="1">IFERROR(OFFSET(DistanceToCamp[Nearest Town],MATCH(CampList[[#This Row],[CP_Pcode]],DistanceToCamp[CP_Pcode],0)-1,0,1,1),"")</f>
        <v>Myitkyina Town</v>
      </c>
      <c r="AE17" s="227">
        <f ca="1">IFERROR(OFFSET(DistanceToCamp[distance],MATCH(CampList[[#This Row],[CP_Pcode]],DistanceToCamp[CP_Pcode],0)-1,0,1,1),"")</f>
        <v>3.3602711423118103</v>
      </c>
      <c r="AF17" s="228">
        <f ca="1">IFERROR(INT(CampList[[#This Row],[Distance]]/5)+1,"")</f>
        <v>1</v>
      </c>
    </row>
    <row r="18" spans="2:32" ht="15.75" customHeight="1" x14ac:dyDescent="0.3">
      <c r="B18" s="218" t="s">
        <v>460</v>
      </c>
      <c r="C18" s="212" t="s">
        <v>378</v>
      </c>
      <c r="D18" s="212" t="s">
        <v>478</v>
      </c>
      <c r="E18" s="212" t="s">
        <v>237</v>
      </c>
      <c r="F18" s="212" t="s">
        <v>484</v>
      </c>
      <c r="G18" s="212" t="s">
        <v>237</v>
      </c>
      <c r="H18" s="212" t="s">
        <v>488</v>
      </c>
      <c r="I18" s="226" t="s">
        <v>611</v>
      </c>
      <c r="J18" s="226" t="s">
        <v>612</v>
      </c>
      <c r="K18" s="727" t="s">
        <v>627</v>
      </c>
      <c r="L18" s="727" t="s">
        <v>628</v>
      </c>
      <c r="M18" s="212" t="s">
        <v>258</v>
      </c>
      <c r="N18" s="212" t="s">
        <v>257</v>
      </c>
      <c r="O18" s="219">
        <v>97.4113064583333</v>
      </c>
      <c r="P18" s="219">
        <v>25.360463124999999</v>
      </c>
      <c r="Q18" s="220">
        <v>0</v>
      </c>
      <c r="R18" s="292">
        <v>61</v>
      </c>
      <c r="S18" s="292">
        <v>302</v>
      </c>
      <c r="T18" s="222">
        <f>IF(CampList[[#This Row],[HH]]&gt;0,CampList[[#This Row],[Total]]/CampList[[#This Row],[HH]],"NA")</f>
        <v>4.9508196721311473</v>
      </c>
      <c r="U18" s="214" t="s">
        <v>464</v>
      </c>
      <c r="V18" s="214" t="s">
        <v>995</v>
      </c>
      <c r="W18" s="214" t="s">
        <v>507</v>
      </c>
      <c r="X18" s="214" t="s">
        <v>742</v>
      </c>
      <c r="Y18" s="331">
        <v>40756</v>
      </c>
      <c r="Z18" s="223" t="s">
        <v>424</v>
      </c>
      <c r="AA18" s="239" t="s">
        <v>774</v>
      </c>
      <c r="AB18" s="225">
        <v>43235</v>
      </c>
      <c r="AC18" s="218" t="s">
        <v>1744</v>
      </c>
      <c r="AD18" s="214" t="str">
        <f ca="1">IFERROR(OFFSET(DistanceToCamp[Nearest Town],MATCH(CampList[[#This Row],[CP_Pcode]],DistanceToCamp[CP_Pcode],0)-1,0,1,1),"")</f>
        <v>Waingmaw Town</v>
      </c>
      <c r="AE18" s="227">
        <f ca="1">IFERROR(OFFSET(DistanceToCamp[distance],MATCH(CampList[[#This Row],[CP_Pcode]],DistanceToCamp[CP_Pcode],0)-1,0,1,1),"")</f>
        <v>3.3362307375127798</v>
      </c>
      <c r="AF18" s="228">
        <f ca="1">IFERROR(INT(CampList[[#This Row],[Distance]]/5)+1,"")</f>
        <v>1</v>
      </c>
    </row>
    <row r="19" spans="2:32" ht="15.75" hidden="1" customHeight="1" x14ac:dyDescent="0.3">
      <c r="B19" s="218" t="s">
        <v>775</v>
      </c>
      <c r="C19" s="212" t="s">
        <v>378</v>
      </c>
      <c r="D19" s="212" t="s">
        <v>478</v>
      </c>
      <c r="E19" s="212" t="s">
        <v>237</v>
      </c>
      <c r="F19" s="212" t="s">
        <v>484</v>
      </c>
      <c r="G19" s="212" t="s">
        <v>237</v>
      </c>
      <c r="H19" s="212" t="s">
        <v>488</v>
      </c>
      <c r="I19" s="226" t="s">
        <v>611</v>
      </c>
      <c r="J19" s="226" t="s">
        <v>612</v>
      </c>
      <c r="K19" s="226" t="s">
        <v>614</v>
      </c>
      <c r="L19" s="226" t="s">
        <v>615</v>
      </c>
      <c r="M19" s="212" t="s">
        <v>266</v>
      </c>
      <c r="N19" s="212" t="s">
        <v>265</v>
      </c>
      <c r="O19" s="219">
        <v>97.376671999999999</v>
      </c>
      <c r="P19" s="219">
        <v>25.387862999999999</v>
      </c>
      <c r="Q19" s="220">
        <v>0</v>
      </c>
      <c r="R19" s="302"/>
      <c r="S19" s="303"/>
      <c r="T19" s="222" t="str">
        <f>IF(CampList[[#This Row],[HH]]&gt;0,CampList[[#This Row],[Total]]/CampList[[#This Row],[HH]],"NA")</f>
        <v>NA</v>
      </c>
      <c r="U19" s="214" t="s">
        <v>464</v>
      </c>
      <c r="V19" s="214" t="s">
        <v>995</v>
      </c>
      <c r="W19" s="214" t="s">
        <v>507</v>
      </c>
      <c r="X19" s="214" t="s">
        <v>742</v>
      </c>
      <c r="Y19" s="223">
        <v>40817</v>
      </c>
      <c r="Z19" s="223" t="s">
        <v>462</v>
      </c>
      <c r="AA19" s="239" t="s">
        <v>774</v>
      </c>
      <c r="AB19" s="225">
        <v>42180</v>
      </c>
      <c r="AC19" s="218" t="s">
        <v>1047</v>
      </c>
      <c r="AD19" s="214" t="str">
        <f ca="1">IFERROR(OFFSET(DistanceToCamp[Nearest Town],MATCH(CampList[[#This Row],[CP_Pcode]],DistanceToCamp[CP_Pcode],0)-1,0,1,1),"")</f>
        <v>Myitkyina Town</v>
      </c>
      <c r="AE19" s="227">
        <f ca="1">IFERROR(OFFSET(DistanceToCamp[distance],MATCH(CampList[[#This Row],[CP_Pcode]],DistanceToCamp[CP_Pcode],0)-1,0,1,1),"")</f>
        <v>1.3751794210741128</v>
      </c>
      <c r="AF19" s="228">
        <f ca="1">IFERROR(INT(CampList[[#This Row],[Distance]]/5)+1,"")</f>
        <v>1</v>
      </c>
    </row>
    <row r="20" spans="2:32" ht="15.75" customHeight="1" x14ac:dyDescent="0.3">
      <c r="B20" s="218" t="s">
        <v>460</v>
      </c>
      <c r="C20" s="212" t="s">
        <v>378</v>
      </c>
      <c r="D20" s="212" t="s">
        <v>478</v>
      </c>
      <c r="E20" s="212" t="s">
        <v>237</v>
      </c>
      <c r="F20" s="212" t="s">
        <v>484</v>
      </c>
      <c r="G20" s="212" t="s">
        <v>237</v>
      </c>
      <c r="H20" s="212" t="s">
        <v>488</v>
      </c>
      <c r="I20" s="226" t="s">
        <v>611</v>
      </c>
      <c r="J20" s="226" t="s">
        <v>612</v>
      </c>
      <c r="K20" s="212" t="s">
        <v>613</v>
      </c>
      <c r="L20" s="212"/>
      <c r="M20" s="212" t="s">
        <v>252</v>
      </c>
      <c r="N20" s="212" t="s">
        <v>251</v>
      </c>
      <c r="O20" s="249">
        <v>97.373361000000003</v>
      </c>
      <c r="P20" s="249">
        <v>25.403476999999999</v>
      </c>
      <c r="Q20" s="220">
        <v>0</v>
      </c>
      <c r="R20" s="292">
        <v>199</v>
      </c>
      <c r="S20" s="292">
        <v>1118</v>
      </c>
      <c r="T20" s="222">
        <f>IF(CampList[[#This Row],[HH]]&gt;0,CampList[[#This Row],[Total]]/CampList[[#This Row],[HH]],"NA")</f>
        <v>5.6180904522613062</v>
      </c>
      <c r="U20" s="214" t="s">
        <v>464</v>
      </c>
      <c r="V20" s="214" t="s">
        <v>995</v>
      </c>
      <c r="W20" s="214" t="s">
        <v>507</v>
      </c>
      <c r="X20" s="214" t="s">
        <v>742</v>
      </c>
      <c r="Y20" s="331">
        <v>40725</v>
      </c>
      <c r="Z20" s="223" t="s">
        <v>424</v>
      </c>
      <c r="AA20" s="239" t="s">
        <v>774</v>
      </c>
      <c r="AB20" s="225">
        <v>43235</v>
      </c>
      <c r="AC20" s="218" t="s">
        <v>1745</v>
      </c>
      <c r="AD20" s="214" t="str">
        <f ca="1">IFERROR(OFFSET(DistanceToCamp[Nearest Town],MATCH(CampList[[#This Row],[CP_Pcode]],DistanceToCamp[CP_Pcode],0)-1,0,1,1),"")</f>
        <v>Myitkyina Town</v>
      </c>
      <c r="AE20" s="227">
        <f ca="1">IFERROR(OFFSET(DistanceToCamp[distance],MATCH(CampList[[#This Row],[CP_Pcode]],DistanceToCamp[CP_Pcode],0)-1,0,1,1),"")</f>
        <v>2.4647367211404561</v>
      </c>
      <c r="AF20" s="228">
        <f ca="1">IFERROR(INT(CampList[[#This Row],[Distance]]/5)+1,"")</f>
        <v>1</v>
      </c>
    </row>
    <row r="21" spans="2:32" ht="15.75" customHeight="1" x14ac:dyDescent="0.3">
      <c r="B21" s="231" t="s">
        <v>460</v>
      </c>
      <c r="C21" s="213" t="s">
        <v>378</v>
      </c>
      <c r="D21" s="213" t="s">
        <v>478</v>
      </c>
      <c r="E21" s="213" t="s">
        <v>237</v>
      </c>
      <c r="F21" s="213" t="s">
        <v>484</v>
      </c>
      <c r="G21" s="213" t="s">
        <v>237</v>
      </c>
      <c r="H21" s="213" t="s">
        <v>488</v>
      </c>
      <c r="I21" s="213" t="s">
        <v>611</v>
      </c>
      <c r="J21" s="232" t="s">
        <v>612</v>
      </c>
      <c r="K21" s="213" t="s">
        <v>613</v>
      </c>
      <c r="L21" s="213"/>
      <c r="M21" s="213" t="s">
        <v>254</v>
      </c>
      <c r="N21" s="213" t="s">
        <v>253</v>
      </c>
      <c r="O21" s="221">
        <v>97.379594999999995</v>
      </c>
      <c r="P21" s="221">
        <v>25.401061110000001</v>
      </c>
      <c r="Q21" s="233"/>
      <c r="R21" s="292">
        <v>115</v>
      </c>
      <c r="S21" s="292">
        <v>562</v>
      </c>
      <c r="T21" s="222">
        <f>IF(CampList[[#This Row],[HH]]&gt;0,CampList[[#This Row],[Total]]/CampList[[#This Row],[HH]],"NA")</f>
        <v>4.8869565217391306</v>
      </c>
      <c r="U21" s="197" t="s">
        <v>464</v>
      </c>
      <c r="V21" s="214" t="s">
        <v>995</v>
      </c>
      <c r="W21" s="197" t="s">
        <v>507</v>
      </c>
      <c r="X21" s="197" t="s">
        <v>742</v>
      </c>
      <c r="Y21" s="332">
        <v>40725</v>
      </c>
      <c r="Z21" s="233" t="s">
        <v>936</v>
      </c>
      <c r="AA21" s="213" t="s">
        <v>774</v>
      </c>
      <c r="AB21" s="225">
        <v>43230</v>
      </c>
      <c r="AC21" s="235" t="s">
        <v>1694</v>
      </c>
      <c r="AD21" s="236" t="str">
        <f ca="1">IFERROR(OFFSET(DistanceToCamp[Nearest Town],MATCH(CampList[[#This Row],[CP_Pcode]],DistanceToCamp[CP_Pcode],0)-1,0,1,1),"")</f>
        <v>Myitkyina Town</v>
      </c>
      <c r="AE21" s="227">
        <f ca="1">IFERROR(OFFSET(DistanceToCamp[distance],MATCH(CampList[[#This Row],[CP_Pcode]],DistanceToCamp[CP_Pcode],0)-1,0,1,1),"")</f>
        <v>1.8563710010113432</v>
      </c>
      <c r="AF21" s="237">
        <f ca="1">IFERROR(INT(CampList[[#This Row],[Distance]]/5)+1,"")</f>
        <v>1</v>
      </c>
    </row>
    <row r="22" spans="2:32" ht="15.75" customHeight="1" x14ac:dyDescent="0.3">
      <c r="B22" s="218" t="s">
        <v>460</v>
      </c>
      <c r="C22" s="212" t="s">
        <v>378</v>
      </c>
      <c r="D22" s="212" t="s">
        <v>478</v>
      </c>
      <c r="E22" s="212" t="s">
        <v>237</v>
      </c>
      <c r="F22" s="212" t="s">
        <v>484</v>
      </c>
      <c r="G22" s="212" t="s">
        <v>237</v>
      </c>
      <c r="H22" s="212" t="s">
        <v>488</v>
      </c>
      <c r="I22" s="226" t="s">
        <v>588</v>
      </c>
      <c r="J22" s="226" t="s">
        <v>589</v>
      </c>
      <c r="K22" s="226" t="s">
        <v>588</v>
      </c>
      <c r="L22" s="226">
        <v>165698</v>
      </c>
      <c r="M22" s="212" t="s">
        <v>262</v>
      </c>
      <c r="N22" s="212" t="s">
        <v>261</v>
      </c>
      <c r="O22" s="219">
        <v>97.2843958974359</v>
      </c>
      <c r="P22" s="219">
        <v>25.374343974359</v>
      </c>
      <c r="Q22" s="220">
        <v>0</v>
      </c>
      <c r="R22" s="292">
        <v>24</v>
      </c>
      <c r="S22" s="292">
        <v>97</v>
      </c>
      <c r="T22" s="222">
        <f>IF(CampList[[#This Row],[HH]]&gt;0,CampList[[#This Row],[Total]]/CampList[[#This Row],[HH]],"NA")</f>
        <v>4.041666666666667</v>
      </c>
      <c r="U22" s="214" t="s">
        <v>464</v>
      </c>
      <c r="V22" s="214" t="s">
        <v>995</v>
      </c>
      <c r="W22" s="214" t="s">
        <v>507</v>
      </c>
      <c r="X22" s="214" t="s">
        <v>784</v>
      </c>
      <c r="Y22" s="331">
        <v>40817</v>
      </c>
      <c r="Z22" s="223" t="s">
        <v>462</v>
      </c>
      <c r="AA22" s="239" t="s">
        <v>774</v>
      </c>
      <c r="AB22" s="225">
        <v>43235</v>
      </c>
      <c r="AC22" s="218" t="s">
        <v>1717</v>
      </c>
      <c r="AD22" s="214" t="str">
        <f ca="1">IFERROR(OFFSET(DistanceToCamp[Nearest Town],MATCH(CampList[[#This Row],[CP_Pcode]],DistanceToCamp[CP_Pcode],0)-1,0,1,1),"")</f>
        <v>Myitkyina Town</v>
      </c>
      <c r="AE22" s="227">
        <f ca="1">IFERROR(OFFSET(DistanceToCamp[distance],MATCH(CampList[[#This Row],[CP_Pcode]],DistanceToCamp[CP_Pcode],0)-1,0,1,1),"")</f>
        <v>10.744749696609457</v>
      </c>
      <c r="AF22" s="228">
        <f ca="1">IFERROR(INT(CampList[[#This Row],[Distance]]/5)+1,"")</f>
        <v>3</v>
      </c>
    </row>
    <row r="23" spans="2:32" ht="15.75" customHeight="1" x14ac:dyDescent="0.3">
      <c r="B23" s="218" t="s">
        <v>460</v>
      </c>
      <c r="C23" s="212" t="s">
        <v>378</v>
      </c>
      <c r="D23" s="212" t="s">
        <v>478</v>
      </c>
      <c r="E23" s="212" t="s">
        <v>237</v>
      </c>
      <c r="F23" s="212" t="s">
        <v>484</v>
      </c>
      <c r="G23" s="212" t="s">
        <v>237</v>
      </c>
      <c r="H23" s="212" t="s">
        <v>488</v>
      </c>
      <c r="I23" s="226" t="s">
        <v>588</v>
      </c>
      <c r="J23" s="226" t="s">
        <v>589</v>
      </c>
      <c r="K23" s="226" t="s">
        <v>588</v>
      </c>
      <c r="L23" s="226">
        <v>165698</v>
      </c>
      <c r="M23" s="212" t="s">
        <v>264</v>
      </c>
      <c r="N23" s="212" t="s">
        <v>263</v>
      </c>
      <c r="O23" s="219">
        <v>97.290952037037002</v>
      </c>
      <c r="P23" s="219">
        <v>25.371049444444399</v>
      </c>
      <c r="Q23" s="220">
        <v>476</v>
      </c>
      <c r="R23" s="292">
        <v>14</v>
      </c>
      <c r="S23" s="292">
        <v>76</v>
      </c>
      <c r="T23" s="222">
        <f>IF(CampList[[#This Row],[HH]]&gt;0,CampList[[#This Row],[Total]]/CampList[[#This Row],[HH]],"NA")</f>
        <v>5.4285714285714288</v>
      </c>
      <c r="U23" s="214" t="s">
        <v>464</v>
      </c>
      <c r="V23" s="214" t="s">
        <v>995</v>
      </c>
      <c r="W23" s="214" t="s">
        <v>507</v>
      </c>
      <c r="X23" s="214" t="s">
        <v>784</v>
      </c>
      <c r="Y23" s="331">
        <v>40817</v>
      </c>
      <c r="Z23" s="223" t="s">
        <v>462</v>
      </c>
      <c r="AA23" s="239" t="s">
        <v>774</v>
      </c>
      <c r="AB23" s="225">
        <v>43235</v>
      </c>
      <c r="AC23" s="218" t="s">
        <v>1718</v>
      </c>
      <c r="AD23" s="214" t="str">
        <f ca="1">IFERROR(OFFSET(DistanceToCamp[Nearest Town],MATCH(CampList[[#This Row],[CP_Pcode]],DistanceToCamp[CP_Pcode],0)-1,0,1,1),"")</f>
        <v>Myitkyina Town</v>
      </c>
      <c r="AE23" s="227">
        <f ca="1">IFERROR(OFFSET(DistanceToCamp[distance],MATCH(CampList[[#This Row],[CP_Pcode]],DistanceToCamp[CP_Pcode],0)-1,0,1,1),"")</f>
        <v>10.15228229456989</v>
      </c>
      <c r="AF23" s="228">
        <f ca="1">IFERROR(INT(CampList[[#This Row],[Distance]]/5)+1,"")</f>
        <v>3</v>
      </c>
    </row>
    <row r="24" spans="2:32" ht="15.75" hidden="1" customHeight="1" x14ac:dyDescent="0.3">
      <c r="B24" s="218" t="s">
        <v>775</v>
      </c>
      <c r="C24" s="212" t="s">
        <v>378</v>
      </c>
      <c r="D24" s="212" t="s">
        <v>478</v>
      </c>
      <c r="E24" s="212" t="s">
        <v>237</v>
      </c>
      <c r="F24" s="212" t="s">
        <v>484</v>
      </c>
      <c r="G24" s="212" t="s">
        <v>237</v>
      </c>
      <c r="H24" s="212" t="s">
        <v>488</v>
      </c>
      <c r="I24" s="212" t="s">
        <v>611</v>
      </c>
      <c r="J24" s="212" t="s">
        <v>612</v>
      </c>
      <c r="K24" s="212" t="s">
        <v>623</v>
      </c>
      <c r="L24" s="212" t="s">
        <v>624</v>
      </c>
      <c r="M24" s="212" t="s">
        <v>282</v>
      </c>
      <c r="N24" s="212" t="s">
        <v>281</v>
      </c>
      <c r="O24" s="219">
        <v>97.403878500000005</v>
      </c>
      <c r="P24" s="219">
        <v>25.377038166666701</v>
      </c>
      <c r="Q24" s="220">
        <v>0</v>
      </c>
      <c r="R24" s="292">
        <v>7</v>
      </c>
      <c r="S24" s="292">
        <v>37</v>
      </c>
      <c r="T24" s="222">
        <f>IF(CampList[[#This Row],[HH]]&gt;0,CampList[[#This Row],[Total]]/CampList[[#This Row],[HH]],"NA")</f>
        <v>5.2857142857142856</v>
      </c>
      <c r="U24" s="214" t="s">
        <v>464</v>
      </c>
      <c r="V24" s="214" t="s">
        <v>995</v>
      </c>
      <c r="W24" s="214" t="s">
        <v>507</v>
      </c>
      <c r="X24" s="214" t="s">
        <v>742</v>
      </c>
      <c r="Y24" s="331">
        <v>41000</v>
      </c>
      <c r="Z24" s="223" t="s">
        <v>462</v>
      </c>
      <c r="AA24" s="212" t="s">
        <v>774</v>
      </c>
      <c r="AB24" s="225">
        <v>42915</v>
      </c>
      <c r="AC24" s="226" t="s">
        <v>1526</v>
      </c>
      <c r="AD24" s="214" t="str">
        <f ca="1">IFERROR(OFFSET(DistanceToCamp[Nearest Town],MATCH(CampList[[#This Row],[CP_Pcode]],DistanceToCamp[CP_Pcode],0)-1,0,1,1),"")</f>
        <v>Myitkyina Town</v>
      </c>
      <c r="AE24" s="227">
        <f ca="1">IFERROR(OFFSET(DistanceToCamp[distance],MATCH(CampList[[#This Row],[CP_Pcode]],DistanceToCamp[CP_Pcode],0)-1,0,1,1),"")</f>
        <v>1.7877148351104664</v>
      </c>
      <c r="AF24" s="228">
        <f ca="1">IFERROR(INT(CampList[[#This Row],[Distance]]/5)+1,"")</f>
        <v>1</v>
      </c>
    </row>
    <row r="25" spans="2:32" ht="15.75" customHeight="1" x14ac:dyDescent="0.3">
      <c r="B25" s="218" t="s">
        <v>460</v>
      </c>
      <c r="C25" s="212" t="s">
        <v>378</v>
      </c>
      <c r="D25" s="212" t="s">
        <v>478</v>
      </c>
      <c r="E25" s="212" t="s">
        <v>237</v>
      </c>
      <c r="F25" s="212" t="s">
        <v>484</v>
      </c>
      <c r="G25" s="212" t="s">
        <v>237</v>
      </c>
      <c r="H25" s="212" t="s">
        <v>488</v>
      </c>
      <c r="I25" s="212" t="s">
        <v>611</v>
      </c>
      <c r="J25" s="212" t="s">
        <v>612</v>
      </c>
      <c r="K25" s="212" t="s">
        <v>616</v>
      </c>
      <c r="L25" s="212" t="s">
        <v>617</v>
      </c>
      <c r="M25" s="212" t="s">
        <v>1031</v>
      </c>
      <c r="N25" s="212" t="s">
        <v>241</v>
      </c>
      <c r="O25" s="219">
        <v>97.379987</v>
      </c>
      <c r="P25" s="219">
        <v>25.423209</v>
      </c>
      <c r="Q25" s="220">
        <v>0</v>
      </c>
      <c r="R25" s="292">
        <v>57</v>
      </c>
      <c r="S25" s="292">
        <v>281</v>
      </c>
      <c r="T25" s="222">
        <f>IF(CampList[[#This Row],[HH]]&gt;0,CampList[[#This Row],[Total]]/CampList[[#This Row],[HH]],"NA")</f>
        <v>4.9298245614035086</v>
      </c>
      <c r="U25" s="214" t="s">
        <v>464</v>
      </c>
      <c r="V25" s="214" t="s">
        <v>995</v>
      </c>
      <c r="W25" s="214" t="s">
        <v>507</v>
      </c>
      <c r="X25" s="214" t="s">
        <v>742</v>
      </c>
      <c r="Y25" s="331">
        <v>41000</v>
      </c>
      <c r="Z25" s="223" t="s">
        <v>462</v>
      </c>
      <c r="AA25" s="212" t="s">
        <v>774</v>
      </c>
      <c r="AB25" s="225">
        <v>43235</v>
      </c>
      <c r="AC25" s="226" t="s">
        <v>1725</v>
      </c>
      <c r="AD25" s="214" t="str">
        <f ca="1">IFERROR(OFFSET(DistanceToCamp[Nearest Town],MATCH(CampList[[#This Row],[CP_Pcode]],DistanceToCamp[CP_Pcode],0)-1,0,1,1),"")</f>
        <v>Myitkyina Town</v>
      </c>
      <c r="AE25" s="227">
        <f ca="1">IFERROR(OFFSET(DistanceToCamp[distance],MATCH(CampList[[#This Row],[CP_Pcode]],DistanceToCamp[CP_Pcode],0)-1,0,1,1),"")</f>
        <v>2.6190942927115026</v>
      </c>
      <c r="AF25" s="228">
        <f ca="1">IFERROR(INT(CampList[[#This Row],[Distance]]/5)+1,"")</f>
        <v>1</v>
      </c>
    </row>
    <row r="26" spans="2:32" ht="15.75" customHeight="1" x14ac:dyDescent="0.3">
      <c r="B26" s="231" t="s">
        <v>460</v>
      </c>
      <c r="C26" s="213" t="s">
        <v>378</v>
      </c>
      <c r="D26" s="213" t="s">
        <v>478</v>
      </c>
      <c r="E26" s="213" t="s">
        <v>237</v>
      </c>
      <c r="F26" s="213" t="s">
        <v>484</v>
      </c>
      <c r="G26" s="213" t="s">
        <v>237</v>
      </c>
      <c r="H26" s="213" t="s">
        <v>488</v>
      </c>
      <c r="I26" s="213" t="s">
        <v>609</v>
      </c>
      <c r="J26" s="232" t="s">
        <v>610</v>
      </c>
      <c r="K26" s="213" t="s">
        <v>609</v>
      </c>
      <c r="L26" s="213">
        <v>165695</v>
      </c>
      <c r="M26" s="213" t="s">
        <v>270</v>
      </c>
      <c r="N26" s="213" t="s">
        <v>269</v>
      </c>
      <c r="O26" s="221">
        <v>97.359320179999997</v>
      </c>
      <c r="P26" s="221">
        <v>25.410569299999999</v>
      </c>
      <c r="Q26" s="233"/>
      <c r="R26" s="292">
        <v>58</v>
      </c>
      <c r="S26" s="292">
        <v>308</v>
      </c>
      <c r="T26" s="222">
        <f>IF(CampList[[#This Row],[HH]]&gt;0,CampList[[#This Row],[Total]]/CampList[[#This Row],[HH]],"NA")</f>
        <v>5.3103448275862073</v>
      </c>
      <c r="U26" s="197" t="s">
        <v>464</v>
      </c>
      <c r="V26" s="214" t="s">
        <v>995</v>
      </c>
      <c r="W26" s="197" t="s">
        <v>507</v>
      </c>
      <c r="X26" s="197" t="s">
        <v>742</v>
      </c>
      <c r="Y26" s="332">
        <v>40909</v>
      </c>
      <c r="Z26" s="233" t="s">
        <v>936</v>
      </c>
      <c r="AA26" s="213" t="s">
        <v>774</v>
      </c>
      <c r="AB26" s="225">
        <v>43230</v>
      </c>
      <c r="AC26" s="235" t="s">
        <v>1699</v>
      </c>
      <c r="AD26" s="236" t="str">
        <f ca="1">IFERROR(OFFSET(DistanceToCamp[Nearest Town],MATCH(CampList[[#This Row],[CP_Pcode]],DistanceToCamp[CP_Pcode],0)-1,0,1,1),"")</f>
        <v>Myitkyina Town</v>
      </c>
      <c r="AE26" s="227">
        <f ca="1">IFERROR(OFFSET(DistanceToCamp[distance],MATCH(CampList[[#This Row],[CP_Pcode]],DistanceToCamp[CP_Pcode],0)-1,0,1,1),"")</f>
        <v>4.037940696665812</v>
      </c>
      <c r="AF26" s="237">
        <f ca="1">IFERROR(INT(CampList[[#This Row],[Distance]]/5)+1,"")</f>
        <v>1</v>
      </c>
    </row>
    <row r="27" spans="2:32" ht="15.75" customHeight="1" x14ac:dyDescent="0.3">
      <c r="B27" s="239" t="s">
        <v>460</v>
      </c>
      <c r="C27" s="212" t="s">
        <v>378</v>
      </c>
      <c r="D27" s="212" t="s">
        <v>478</v>
      </c>
      <c r="E27" s="212" t="s">
        <v>237</v>
      </c>
      <c r="F27" s="212" t="s">
        <v>484</v>
      </c>
      <c r="G27" s="212" t="s">
        <v>309</v>
      </c>
      <c r="H27" s="212" t="s">
        <v>485</v>
      </c>
      <c r="I27" s="212" t="s">
        <v>635</v>
      </c>
      <c r="J27" s="212" t="s">
        <v>636</v>
      </c>
      <c r="K27" s="212" t="s">
        <v>656</v>
      </c>
      <c r="L27" s="212" t="s">
        <v>657</v>
      </c>
      <c r="M27" s="212" t="s">
        <v>340</v>
      </c>
      <c r="N27" s="212" t="s">
        <v>339</v>
      </c>
      <c r="O27" s="219">
        <v>97.438432380952406</v>
      </c>
      <c r="P27" s="219">
        <v>25.351724999999998</v>
      </c>
      <c r="Q27" s="220">
        <v>0</v>
      </c>
      <c r="R27" s="292">
        <v>63</v>
      </c>
      <c r="S27" s="292">
        <v>321</v>
      </c>
      <c r="T27" s="222">
        <f>IF(CampList[[#This Row],[HH]]&gt;0,CampList[[#This Row],[Total]]/CampList[[#This Row],[HH]],"NA")</f>
        <v>5.0952380952380949</v>
      </c>
      <c r="U27" s="214" t="s">
        <v>464</v>
      </c>
      <c r="V27" s="214" t="s">
        <v>995</v>
      </c>
      <c r="W27" s="214" t="s">
        <v>507</v>
      </c>
      <c r="X27" s="214" t="s">
        <v>742</v>
      </c>
      <c r="Y27" s="331">
        <v>40695</v>
      </c>
      <c r="Z27" s="223" t="s">
        <v>424</v>
      </c>
      <c r="AA27" s="212" t="s">
        <v>774</v>
      </c>
      <c r="AB27" s="225">
        <v>43235</v>
      </c>
      <c r="AC27" s="226" t="s">
        <v>1746</v>
      </c>
      <c r="AD27" s="214" t="str">
        <f ca="1">IFERROR(OFFSET(DistanceToCamp[Nearest Town],MATCH(CampList[[#This Row],[CP_Pcode]],DistanceToCamp[CP_Pcode],0)-1,0,1,1),"")</f>
        <v>Waingmaw Town</v>
      </c>
      <c r="AE27" s="227">
        <f ca="1">IFERROR(OFFSET(DistanceToCamp[distance],MATCH(CampList[[#This Row],[CP_Pcode]],DistanceToCamp[CP_Pcode],0)-1,0,1,1),"")</f>
        <v>0.4474205416025816</v>
      </c>
      <c r="AF27" s="228">
        <f ca="1">IFERROR(INT(CampList[[#This Row],[Distance]]/5)+1,"")</f>
        <v>1</v>
      </c>
    </row>
    <row r="28" spans="2:32" ht="15.75" customHeight="1" x14ac:dyDescent="0.3">
      <c r="B28" s="239" t="s">
        <v>460</v>
      </c>
      <c r="C28" s="212" t="s">
        <v>378</v>
      </c>
      <c r="D28" s="212" t="s">
        <v>478</v>
      </c>
      <c r="E28" s="212" t="s">
        <v>237</v>
      </c>
      <c r="F28" s="212" t="s">
        <v>484</v>
      </c>
      <c r="G28" s="212" t="s">
        <v>309</v>
      </c>
      <c r="H28" s="212" t="s">
        <v>485</v>
      </c>
      <c r="I28" s="212" t="s">
        <v>635</v>
      </c>
      <c r="J28" s="212" t="s">
        <v>636</v>
      </c>
      <c r="K28" s="212" t="s">
        <v>637</v>
      </c>
      <c r="L28" s="212" t="s">
        <v>638</v>
      </c>
      <c r="M28" s="212" t="s">
        <v>349</v>
      </c>
      <c r="N28" s="212" t="s">
        <v>348</v>
      </c>
      <c r="O28" s="219">
        <v>97.432495000000003</v>
      </c>
      <c r="P28" s="219">
        <v>25.350809000000002</v>
      </c>
      <c r="Q28" s="220">
        <v>0</v>
      </c>
      <c r="R28" s="292">
        <v>92</v>
      </c>
      <c r="S28" s="292">
        <v>499</v>
      </c>
      <c r="T28" s="222">
        <f>IF(CampList[[#This Row],[HH]]&gt;0,CampList[[#This Row],[Total]]/CampList[[#This Row],[HH]],"NA")</f>
        <v>5.4239130434782608</v>
      </c>
      <c r="U28" s="214" t="s">
        <v>464</v>
      </c>
      <c r="V28" s="214" t="s">
        <v>995</v>
      </c>
      <c r="W28" s="214" t="s">
        <v>507</v>
      </c>
      <c r="X28" s="214" t="s">
        <v>742</v>
      </c>
      <c r="Y28" s="331">
        <v>40940</v>
      </c>
      <c r="Z28" s="223" t="s">
        <v>462</v>
      </c>
      <c r="AA28" s="212" t="s">
        <v>774</v>
      </c>
      <c r="AB28" s="225">
        <v>43235</v>
      </c>
      <c r="AC28" s="226" t="s">
        <v>1722</v>
      </c>
      <c r="AD28" s="214" t="str">
        <f ca="1">IFERROR(OFFSET(DistanceToCamp[Nearest Town],MATCH(CampList[[#This Row],[CP_Pcode]],DistanceToCamp[CP_Pcode],0)-1,0,1,1),"")</f>
        <v>Waingmaw Town</v>
      </c>
      <c r="AE28" s="227">
        <f ca="1">IFERROR(OFFSET(DistanceToCamp[distance],MATCH(CampList[[#This Row],[CP_Pcode]],DistanceToCamp[CP_Pcode],0)-1,0,1,1),"")</f>
        <v>1.0367202051285227</v>
      </c>
      <c r="AF28" s="228">
        <f ca="1">IFERROR(INT(CampList[[#This Row],[Distance]]/5)+1,"")</f>
        <v>1</v>
      </c>
    </row>
    <row r="29" spans="2:32" ht="15.75" customHeight="1" x14ac:dyDescent="0.3">
      <c r="B29" s="239" t="s">
        <v>460</v>
      </c>
      <c r="C29" s="212" t="s">
        <v>378</v>
      </c>
      <c r="D29" s="212" t="s">
        <v>478</v>
      </c>
      <c r="E29" s="212" t="s">
        <v>237</v>
      </c>
      <c r="F29" s="212" t="s">
        <v>484</v>
      </c>
      <c r="G29" s="212" t="s">
        <v>309</v>
      </c>
      <c r="H29" s="212" t="s">
        <v>485</v>
      </c>
      <c r="I29" s="212" t="s">
        <v>659</v>
      </c>
      <c r="J29" s="212" t="s">
        <v>660</v>
      </c>
      <c r="K29" s="212" t="s">
        <v>661</v>
      </c>
      <c r="L29" s="212">
        <v>165730</v>
      </c>
      <c r="M29" s="212" t="s">
        <v>319</v>
      </c>
      <c r="N29" s="212" t="s">
        <v>318</v>
      </c>
      <c r="O29" s="219">
        <v>97.451965000000001</v>
      </c>
      <c r="P29" s="219">
        <v>25.356632000000001</v>
      </c>
      <c r="Q29" s="220">
        <v>0</v>
      </c>
      <c r="R29" s="292">
        <v>30</v>
      </c>
      <c r="S29" s="292">
        <v>176</v>
      </c>
      <c r="T29" s="222">
        <f>IF(CampList[[#This Row],[HH]]&gt;0,CampList[[#This Row],[Total]]/CampList[[#This Row],[HH]],"NA")</f>
        <v>5.8666666666666663</v>
      </c>
      <c r="U29" s="214" t="s">
        <v>464</v>
      </c>
      <c r="V29" s="214" t="s">
        <v>995</v>
      </c>
      <c r="W29" s="214" t="s">
        <v>507</v>
      </c>
      <c r="X29" s="214" t="s">
        <v>742</v>
      </c>
      <c r="Y29" s="331">
        <v>41030</v>
      </c>
      <c r="Z29" s="223" t="s">
        <v>424</v>
      </c>
      <c r="AA29" s="239" t="s">
        <v>774</v>
      </c>
      <c r="AB29" s="225">
        <v>43235</v>
      </c>
      <c r="AC29" s="218" t="s">
        <v>1747</v>
      </c>
      <c r="AD29" s="214" t="str">
        <f ca="1">IFERROR(OFFSET(DistanceToCamp[Nearest Town],MATCH(CampList[[#This Row],[CP_Pcode]],DistanceToCamp[CP_Pcode],0)-1,0,1,1),"")</f>
        <v>Waingmaw Town</v>
      </c>
      <c r="AE29" s="227">
        <f ca="1">IFERROR(OFFSET(DistanceToCamp[distance],MATCH(CampList[[#This Row],[CP_Pcode]],DistanceToCamp[CP_Pcode],0)-1,0,1,1),"")</f>
        <v>1.1134935940025397</v>
      </c>
      <c r="AF29" s="228">
        <f ca="1">IFERROR(INT(CampList[[#This Row],[Distance]]/5)+1,"")</f>
        <v>1</v>
      </c>
    </row>
    <row r="30" spans="2:32" ht="15.75" customHeight="1" x14ac:dyDescent="0.3">
      <c r="B30" s="239" t="s">
        <v>460</v>
      </c>
      <c r="C30" s="212" t="s">
        <v>378</v>
      </c>
      <c r="D30" s="212" t="s">
        <v>478</v>
      </c>
      <c r="E30" s="212" t="s">
        <v>237</v>
      </c>
      <c r="F30" s="212" t="s">
        <v>484</v>
      </c>
      <c r="G30" s="212" t="s">
        <v>309</v>
      </c>
      <c r="H30" s="212" t="s">
        <v>485</v>
      </c>
      <c r="I30" s="212" t="s">
        <v>564</v>
      </c>
      <c r="J30" s="212" t="s">
        <v>565</v>
      </c>
      <c r="K30" s="212" t="s">
        <v>564</v>
      </c>
      <c r="L30" s="212">
        <v>165735</v>
      </c>
      <c r="M30" s="212" t="s">
        <v>312</v>
      </c>
      <c r="N30" s="212" t="s">
        <v>311</v>
      </c>
      <c r="O30" s="219">
        <v>97.404195925926004</v>
      </c>
      <c r="P30" s="219">
        <v>25.321710740740698</v>
      </c>
      <c r="Q30" s="220">
        <v>0</v>
      </c>
      <c r="R30" s="292">
        <v>103</v>
      </c>
      <c r="S30" s="292">
        <v>504</v>
      </c>
      <c r="T30" s="222">
        <f>IF(CampList[[#This Row],[HH]]&gt;0,CampList[[#This Row],[Total]]/CampList[[#This Row],[HH]],"NA")</f>
        <v>4.8932038834951452</v>
      </c>
      <c r="U30" s="214" t="s">
        <v>464</v>
      </c>
      <c r="V30" s="214" t="s">
        <v>995</v>
      </c>
      <c r="W30" s="214" t="s">
        <v>507</v>
      </c>
      <c r="X30" s="214" t="s">
        <v>784</v>
      </c>
      <c r="Y30" s="331">
        <v>40695</v>
      </c>
      <c r="Z30" s="223" t="s">
        <v>462</v>
      </c>
      <c r="AA30" s="239" t="s">
        <v>774</v>
      </c>
      <c r="AB30" s="225">
        <v>43235</v>
      </c>
      <c r="AC30" s="218" t="s">
        <v>1711</v>
      </c>
      <c r="AD30" s="214" t="str">
        <f ca="1">IFERROR(OFFSET(DistanceToCamp[Nearest Town],MATCH(CampList[[#This Row],[CP_Pcode]],DistanceToCamp[CP_Pcode],0)-1,0,1,1),"")</f>
        <v>Waingmaw Town</v>
      </c>
      <c r="AE30" s="227">
        <f ca="1">IFERROR(OFFSET(DistanceToCamp[distance],MATCH(CampList[[#This Row],[CP_Pcode]],DistanceToCamp[CP_Pcode],0)-1,0,1,1),"")</f>
        <v>5.0655036329811631</v>
      </c>
      <c r="AF30" s="228">
        <f ca="1">IFERROR(INT(CampList[[#This Row],[Distance]]/5)+1,"")</f>
        <v>2</v>
      </c>
    </row>
    <row r="31" spans="2:32" ht="15.75" customHeight="1" x14ac:dyDescent="0.3">
      <c r="B31" s="242" t="s">
        <v>460</v>
      </c>
      <c r="C31" s="213" t="s">
        <v>378</v>
      </c>
      <c r="D31" s="213" t="s">
        <v>478</v>
      </c>
      <c r="E31" s="213" t="s">
        <v>237</v>
      </c>
      <c r="F31" s="213" t="s">
        <v>484</v>
      </c>
      <c r="G31" s="213" t="s">
        <v>309</v>
      </c>
      <c r="H31" s="213" t="s">
        <v>485</v>
      </c>
      <c r="I31" s="213" t="s">
        <v>633</v>
      </c>
      <c r="J31" s="232" t="s">
        <v>634</v>
      </c>
      <c r="K31" s="213" t="s">
        <v>633</v>
      </c>
      <c r="L31" s="213">
        <v>165740</v>
      </c>
      <c r="M31" s="213" t="s">
        <v>329</v>
      </c>
      <c r="N31" s="213" t="s">
        <v>328</v>
      </c>
      <c r="O31" s="221">
        <v>97.437782499999997</v>
      </c>
      <c r="P31" s="221">
        <v>25.415667500000001</v>
      </c>
      <c r="Q31" s="233"/>
      <c r="R31" s="292">
        <v>285</v>
      </c>
      <c r="S31" s="292">
        <v>1508</v>
      </c>
      <c r="T31" s="222">
        <f>IF(CampList[[#This Row],[HH]]&gt;0,CampList[[#This Row],[Total]]/CampList[[#This Row],[HH]],"NA")</f>
        <v>5.2912280701754382</v>
      </c>
      <c r="U31" s="197" t="s">
        <v>464</v>
      </c>
      <c r="V31" s="214" t="s">
        <v>995</v>
      </c>
      <c r="W31" s="197" t="s">
        <v>507</v>
      </c>
      <c r="X31" s="197" t="s">
        <v>742</v>
      </c>
      <c r="Y31" s="332">
        <v>41426</v>
      </c>
      <c r="Z31" s="233" t="s">
        <v>936</v>
      </c>
      <c r="AA31" s="213" t="s">
        <v>774</v>
      </c>
      <c r="AB31" s="225">
        <v>43230</v>
      </c>
      <c r="AC31" s="235" t="s">
        <v>1697</v>
      </c>
      <c r="AD31" s="236" t="str">
        <f ca="1">IFERROR(OFFSET(DistanceToCamp[Nearest Town],MATCH(CampList[[#This Row],[CP_Pcode]],DistanceToCamp[CP_Pcode],0)-1,0,1,1),"")</f>
        <v>Myitkyina Town</v>
      </c>
      <c r="AE31" s="227">
        <f ca="1">IFERROR(OFFSET(DistanceToCamp[distance],MATCH(CampList[[#This Row],[CP_Pcode]],DistanceToCamp[CP_Pcode],0)-1,0,1,1),"")</f>
        <v>5.7019834469756479</v>
      </c>
      <c r="AF31" s="237">
        <f ca="1">IFERROR(INT(CampList[[#This Row],[Distance]]/5)+1,"")</f>
        <v>2</v>
      </c>
    </row>
    <row r="32" spans="2:32" ht="15.75" customHeight="1" x14ac:dyDescent="0.3">
      <c r="B32" s="239" t="s">
        <v>460</v>
      </c>
      <c r="C32" s="212" t="s">
        <v>378</v>
      </c>
      <c r="D32" s="212" t="s">
        <v>478</v>
      </c>
      <c r="E32" s="212" t="s">
        <v>237</v>
      </c>
      <c r="F32" s="212" t="s">
        <v>484</v>
      </c>
      <c r="G32" s="212" t="s">
        <v>309</v>
      </c>
      <c r="H32" s="212" t="s">
        <v>485</v>
      </c>
      <c r="I32" s="212" t="s">
        <v>635</v>
      </c>
      <c r="J32" s="212" t="s">
        <v>636</v>
      </c>
      <c r="K32" s="212" t="s">
        <v>654</v>
      </c>
      <c r="L32" s="212" t="s">
        <v>655</v>
      </c>
      <c r="M32" s="212" t="s">
        <v>337</v>
      </c>
      <c r="N32" s="212" t="s">
        <v>336</v>
      </c>
      <c r="O32" s="219">
        <v>97.437472666666693</v>
      </c>
      <c r="P32" s="219">
        <v>25.345918166666699</v>
      </c>
      <c r="Q32" s="220"/>
      <c r="R32" s="292">
        <v>29</v>
      </c>
      <c r="S32" s="292">
        <v>160</v>
      </c>
      <c r="T32" s="222">
        <f>IF(CampList[[#This Row],[HH]]&gt;0,CampList[[#This Row],[Total]]/CampList[[#This Row],[HH]],"NA")</f>
        <v>5.5172413793103452</v>
      </c>
      <c r="U32" s="214" t="s">
        <v>464</v>
      </c>
      <c r="V32" s="214" t="s">
        <v>995</v>
      </c>
      <c r="W32" s="214" t="s">
        <v>507</v>
      </c>
      <c r="X32" s="214" t="s">
        <v>742</v>
      </c>
      <c r="Y32" s="331">
        <v>40695</v>
      </c>
      <c r="Z32" s="223" t="s">
        <v>462</v>
      </c>
      <c r="AA32" s="212" t="s">
        <v>774</v>
      </c>
      <c r="AB32" s="225">
        <v>43235</v>
      </c>
      <c r="AC32" s="226" t="s">
        <v>1718</v>
      </c>
      <c r="AD32" s="214" t="str">
        <f ca="1">IFERROR(OFFSET(DistanceToCamp[Nearest Town],MATCH(CampList[[#This Row],[CP_Pcode]],DistanceToCamp[CP_Pcode],0)-1,0,1,1),"")</f>
        <v>Waingmaw Town</v>
      </c>
      <c r="AE32" s="227">
        <f ca="1">IFERROR(OFFSET(DistanceToCamp[distance],MATCH(CampList[[#This Row],[CP_Pcode]],DistanceToCamp[CP_Pcode],0)-1,0,1,1),"")</f>
        <v>0.77827912736780092</v>
      </c>
      <c r="AF32" s="228">
        <f ca="1">IFERROR(INT(CampList[[#This Row],[Distance]]/5)+1,"")</f>
        <v>1</v>
      </c>
    </row>
    <row r="33" spans="2:32" ht="15.75" customHeight="1" x14ac:dyDescent="0.3">
      <c r="B33" s="239" t="s">
        <v>460</v>
      </c>
      <c r="C33" s="212" t="s">
        <v>378</v>
      </c>
      <c r="D33" s="212" t="s">
        <v>478</v>
      </c>
      <c r="E33" s="212" t="s">
        <v>237</v>
      </c>
      <c r="F33" s="212" t="s">
        <v>484</v>
      </c>
      <c r="G33" s="212" t="s">
        <v>309</v>
      </c>
      <c r="H33" s="212" t="s">
        <v>485</v>
      </c>
      <c r="I33" s="212" t="s">
        <v>633</v>
      </c>
      <c r="J33" s="212" t="s">
        <v>634</v>
      </c>
      <c r="K33" s="212" t="s">
        <v>633</v>
      </c>
      <c r="L33" s="212">
        <v>165740</v>
      </c>
      <c r="M33" s="212" t="s">
        <v>327</v>
      </c>
      <c r="N33" s="212" t="s">
        <v>326</v>
      </c>
      <c r="O33" s="219">
        <v>97.433419259259296</v>
      </c>
      <c r="P33" s="219">
        <v>25.424529444444399</v>
      </c>
      <c r="Q33" s="220">
        <v>0</v>
      </c>
      <c r="R33" s="292">
        <v>339</v>
      </c>
      <c r="S33" s="292">
        <v>1975</v>
      </c>
      <c r="T33" s="222">
        <f>IF(CampList[[#This Row],[HH]]&gt;0,CampList[[#This Row],[Total]]/CampList[[#This Row],[HH]],"NA")</f>
        <v>5.8259587020648969</v>
      </c>
      <c r="U33" s="214" t="s">
        <v>464</v>
      </c>
      <c r="V33" s="214" t="s">
        <v>995</v>
      </c>
      <c r="W33" s="214" t="s">
        <v>507</v>
      </c>
      <c r="X33" s="214" t="s">
        <v>784</v>
      </c>
      <c r="Y33" s="331">
        <v>41456</v>
      </c>
      <c r="Z33" s="223" t="s">
        <v>462</v>
      </c>
      <c r="AA33" s="239" t="s">
        <v>774</v>
      </c>
      <c r="AB33" s="225">
        <v>43235</v>
      </c>
      <c r="AC33" s="218" t="s">
        <v>1716</v>
      </c>
      <c r="AD33" s="214" t="str">
        <f ca="1">IFERROR(OFFSET(DistanceToCamp[Nearest Town],MATCH(CampList[[#This Row],[CP_Pcode]],DistanceToCamp[CP_Pcode],0)-1,0,1,1),"")</f>
        <v>Myitkyina Town</v>
      </c>
      <c r="AE33" s="227">
        <f ca="1">IFERROR(OFFSET(DistanceToCamp[distance],MATCH(CampList[[#This Row],[CP_Pcode]],DistanceToCamp[CP_Pcode],0)-1,0,1,1),"")</f>
        <v>5.9727739497559158</v>
      </c>
      <c r="AF33" s="228">
        <f ca="1">IFERROR(INT(CampList[[#This Row],[Distance]]/5)+1,"")</f>
        <v>2</v>
      </c>
    </row>
    <row r="34" spans="2:32" ht="15.75" customHeight="1" x14ac:dyDescent="0.3">
      <c r="B34" s="239" t="s">
        <v>460</v>
      </c>
      <c r="C34" s="212" t="s">
        <v>378</v>
      </c>
      <c r="D34" s="212" t="s">
        <v>478</v>
      </c>
      <c r="E34" s="212" t="s">
        <v>237</v>
      </c>
      <c r="F34" s="212" t="s">
        <v>484</v>
      </c>
      <c r="G34" s="212" t="s">
        <v>309</v>
      </c>
      <c r="H34" s="212" t="s">
        <v>485</v>
      </c>
      <c r="I34" s="212" t="s">
        <v>635</v>
      </c>
      <c r="J34" s="212" t="s">
        <v>636</v>
      </c>
      <c r="K34" s="212" t="s">
        <v>656</v>
      </c>
      <c r="L34" s="212" t="s">
        <v>657</v>
      </c>
      <c r="M34" s="212" t="s">
        <v>317</v>
      </c>
      <c r="N34" s="212" t="s">
        <v>316</v>
      </c>
      <c r="O34" s="219">
        <v>97.441166388888902</v>
      </c>
      <c r="P34" s="219">
        <v>25.3540362037037</v>
      </c>
      <c r="Q34" s="220">
        <v>0</v>
      </c>
      <c r="R34" s="292">
        <v>119</v>
      </c>
      <c r="S34" s="292">
        <v>483</v>
      </c>
      <c r="T34" s="222">
        <f>IF(CampList[[#This Row],[HH]]&gt;0,CampList[[#This Row],[Total]]/CampList[[#This Row],[HH]],"NA")</f>
        <v>4.0588235294117645</v>
      </c>
      <c r="U34" s="214" t="s">
        <v>464</v>
      </c>
      <c r="V34" s="214" t="s">
        <v>995</v>
      </c>
      <c r="W34" s="214" t="s">
        <v>507</v>
      </c>
      <c r="X34" s="214" t="s">
        <v>742</v>
      </c>
      <c r="Y34" s="331">
        <v>40725</v>
      </c>
      <c r="Z34" s="223" t="s">
        <v>462</v>
      </c>
      <c r="AA34" s="212" t="s">
        <v>774</v>
      </c>
      <c r="AB34" s="225">
        <v>43235</v>
      </c>
      <c r="AC34" s="226" t="s">
        <v>1721</v>
      </c>
      <c r="AD34" s="214" t="str">
        <f ca="1">IFERROR(OFFSET(DistanceToCamp[Nearest Town],MATCH(CampList[[#This Row],[CP_Pcode]],DistanceToCamp[CP_Pcode],0)-1,0,1,1),"")</f>
        <v>Waingmaw Town</v>
      </c>
      <c r="AE34" s="227">
        <f ca="1">IFERROR(OFFSET(DistanceToCamp[distance],MATCH(CampList[[#This Row],[CP_Pcode]],DistanceToCamp[CP_Pcode],0)-1,0,1,1),"")</f>
        <v>0.37684287609457234</v>
      </c>
      <c r="AF34" s="228">
        <f ca="1">IFERROR(INT(CampList[[#This Row],[Distance]]/5)+1,"")</f>
        <v>1</v>
      </c>
    </row>
    <row r="35" spans="2:32" ht="15.75" customHeight="1" x14ac:dyDescent="0.3">
      <c r="B35" s="239" t="s">
        <v>460</v>
      </c>
      <c r="C35" s="212" t="s">
        <v>378</v>
      </c>
      <c r="D35" s="212" t="s">
        <v>478</v>
      </c>
      <c r="E35" s="212" t="s">
        <v>237</v>
      </c>
      <c r="F35" s="212" t="s">
        <v>484</v>
      </c>
      <c r="G35" s="212" t="s">
        <v>309</v>
      </c>
      <c r="H35" s="212" t="s">
        <v>485</v>
      </c>
      <c r="I35" s="212" t="s">
        <v>961</v>
      </c>
      <c r="J35" s="212" t="s">
        <v>1037</v>
      </c>
      <c r="K35" s="212" t="s">
        <v>606</v>
      </c>
      <c r="L35" s="212">
        <v>165745</v>
      </c>
      <c r="M35" s="212" t="s">
        <v>342</v>
      </c>
      <c r="N35" s="212" t="s">
        <v>341</v>
      </c>
      <c r="O35" s="219">
        <v>97.345039</v>
      </c>
      <c r="P35" s="219">
        <v>25.351965</v>
      </c>
      <c r="Q35" s="220"/>
      <c r="R35" s="292">
        <v>20</v>
      </c>
      <c r="S35" s="292">
        <v>86</v>
      </c>
      <c r="T35" s="222">
        <f>IF(CampList[[#This Row],[HH]]&gt;0,CampList[[#This Row],[Total]]/CampList[[#This Row],[HH]],"NA")</f>
        <v>4.3</v>
      </c>
      <c r="U35" s="214" t="s">
        <v>464</v>
      </c>
      <c r="V35" s="214" t="s">
        <v>995</v>
      </c>
      <c r="W35" s="214" t="s">
        <v>507</v>
      </c>
      <c r="X35" s="214" t="s">
        <v>784</v>
      </c>
      <c r="Y35" s="331">
        <v>41030</v>
      </c>
      <c r="Z35" s="223" t="s">
        <v>462</v>
      </c>
      <c r="AA35" s="212" t="s">
        <v>774</v>
      </c>
      <c r="AB35" s="225">
        <v>43235</v>
      </c>
      <c r="AC35" s="226" t="s">
        <v>1720</v>
      </c>
      <c r="AD35" s="214" t="str">
        <f ca="1">IFERROR(OFFSET(DistanceToCamp[Nearest Town],MATCH(CampList[[#This Row],[CP_Pcode]],DistanceToCamp[CP_Pcode],0)-1,0,1,1),"")</f>
        <v>Myitkyina Town</v>
      </c>
      <c r="AE35" s="227">
        <f ca="1">IFERROR(OFFSET(DistanceToCamp[distance],MATCH(CampList[[#This Row],[CP_Pcode]],DistanceToCamp[CP_Pcode],0)-1,0,1,1),"")</f>
        <v>6.0275881703713861</v>
      </c>
      <c r="AF35" s="228">
        <f ca="1">IFERROR(INT(CampList[[#This Row],[Distance]]/5)+1,"")</f>
        <v>2</v>
      </c>
    </row>
    <row r="36" spans="2:32" ht="15.75" hidden="1" customHeight="1" x14ac:dyDescent="0.3">
      <c r="B36" s="218" t="s">
        <v>775</v>
      </c>
      <c r="C36" s="212" t="s">
        <v>378</v>
      </c>
      <c r="D36" s="212" t="s">
        <v>478</v>
      </c>
      <c r="E36" s="212" t="s">
        <v>237</v>
      </c>
      <c r="F36" s="212" t="s">
        <v>484</v>
      </c>
      <c r="G36" s="212" t="s">
        <v>309</v>
      </c>
      <c r="H36" s="212" t="s">
        <v>485</v>
      </c>
      <c r="I36" s="226" t="s">
        <v>689</v>
      </c>
      <c r="J36" s="226" t="s">
        <v>690</v>
      </c>
      <c r="K36" s="226" t="s">
        <v>689</v>
      </c>
      <c r="L36" s="226">
        <v>165750</v>
      </c>
      <c r="M36" s="212" t="s">
        <v>1034</v>
      </c>
      <c r="N36" s="212" t="s">
        <v>358</v>
      </c>
      <c r="O36" s="219"/>
      <c r="P36" s="219"/>
      <c r="Q36" s="233"/>
      <c r="R36" s="302"/>
      <c r="S36" s="303"/>
      <c r="T36" s="222" t="str">
        <f>IF(CampList[[#This Row],[HH]]&gt;0,CampList[[#This Row],[Total]]/CampList[[#This Row],[HH]],"NA")</f>
        <v>NA</v>
      </c>
      <c r="U36" s="214" t="s">
        <v>464</v>
      </c>
      <c r="V36" s="214" t="s">
        <v>995</v>
      </c>
      <c r="W36" s="214" t="s">
        <v>507</v>
      </c>
      <c r="X36" s="214"/>
      <c r="Y36" s="234"/>
      <c r="Z36" s="224"/>
      <c r="AA36" s="239"/>
      <c r="AB36" s="243"/>
      <c r="AC36" s="218" t="s">
        <v>541</v>
      </c>
      <c r="AD36" s="214" t="str">
        <f ca="1">IFERROR(OFFSET(DistanceToCamp[Nearest Town],MATCH(CampList[[#This Row],[CP_Pcode]],DistanceToCamp[CP_Pcode],0)-1,0,1,1),"")</f>
        <v/>
      </c>
      <c r="AE36" s="227" t="str">
        <f ca="1">IFERROR(OFFSET(DistanceToCamp[distance],MATCH(CampList[[#This Row],[CP_Pcode]],DistanceToCamp[CP_Pcode],0)-1,0,1,1),"")</f>
        <v/>
      </c>
      <c r="AF36" s="228" t="str">
        <f ca="1">IFERROR(INT(CampList[[#This Row],[Distance]]/5)+1,"")</f>
        <v/>
      </c>
    </row>
    <row r="37" spans="2:32" ht="15.75" hidden="1" customHeight="1" x14ac:dyDescent="0.3">
      <c r="B37" s="218" t="s">
        <v>775</v>
      </c>
      <c r="C37" s="212" t="s">
        <v>378</v>
      </c>
      <c r="D37" s="212" t="s">
        <v>478</v>
      </c>
      <c r="E37" s="212" t="s">
        <v>237</v>
      </c>
      <c r="F37" s="212" t="s">
        <v>484</v>
      </c>
      <c r="G37" s="212" t="s">
        <v>309</v>
      </c>
      <c r="H37" s="212" t="s">
        <v>485</v>
      </c>
      <c r="I37" s="226" t="s">
        <v>564</v>
      </c>
      <c r="J37" s="212" t="s">
        <v>565</v>
      </c>
      <c r="K37" s="226" t="s">
        <v>564</v>
      </c>
      <c r="L37" s="226">
        <v>165735</v>
      </c>
      <c r="M37" s="212" t="s">
        <v>1033</v>
      </c>
      <c r="N37" s="212" t="s">
        <v>357</v>
      </c>
      <c r="O37" s="219">
        <v>97.421104</v>
      </c>
      <c r="P37" s="219">
        <v>25.328987000000001</v>
      </c>
      <c r="Q37" s="233"/>
      <c r="R37" s="302"/>
      <c r="S37" s="303"/>
      <c r="T37" s="222" t="str">
        <f>IF(CampList[[#This Row],[HH]]&gt;0,CampList[[#This Row],[Total]]/CampList[[#This Row],[HH]],"NA")</f>
        <v>NA</v>
      </c>
      <c r="U37" s="214" t="s">
        <v>464</v>
      </c>
      <c r="V37" s="214" t="s">
        <v>995</v>
      </c>
      <c r="W37" s="214" t="s">
        <v>507</v>
      </c>
      <c r="X37" s="214"/>
      <c r="Y37" s="234"/>
      <c r="Z37" s="224"/>
      <c r="AA37" s="239"/>
      <c r="AB37" s="243"/>
      <c r="AC37" s="218" t="s">
        <v>541</v>
      </c>
      <c r="AD37" s="214" t="str">
        <f ca="1">IFERROR(OFFSET(DistanceToCamp[Nearest Town],MATCH(CampList[[#This Row],[CP_Pcode]],DistanceToCamp[CP_Pcode],0)-1,0,1,1),"")</f>
        <v/>
      </c>
      <c r="AE37" s="227" t="str">
        <f ca="1">IFERROR(OFFSET(DistanceToCamp[distance],MATCH(CampList[[#This Row],[CP_Pcode]],DistanceToCamp[CP_Pcode],0)-1,0,1,1),"")</f>
        <v/>
      </c>
      <c r="AF37" s="228" t="str">
        <f ca="1">IFERROR(INT(CampList[[#This Row],[Distance]]/5)+1,"")</f>
        <v/>
      </c>
    </row>
    <row r="38" spans="2:32" ht="15.75" hidden="1" customHeight="1" x14ac:dyDescent="0.3">
      <c r="B38" s="218" t="s">
        <v>775</v>
      </c>
      <c r="C38" s="212" t="s">
        <v>378</v>
      </c>
      <c r="D38" s="212" t="s">
        <v>478</v>
      </c>
      <c r="E38" s="212" t="s">
        <v>237</v>
      </c>
      <c r="F38" s="212" t="s">
        <v>484</v>
      </c>
      <c r="G38" s="212" t="s">
        <v>309</v>
      </c>
      <c r="H38" s="212" t="s">
        <v>485</v>
      </c>
      <c r="I38" s="212" t="s">
        <v>635</v>
      </c>
      <c r="J38" s="212" t="s">
        <v>636</v>
      </c>
      <c r="K38" s="212" t="s">
        <v>656</v>
      </c>
      <c r="L38" s="212" t="s">
        <v>657</v>
      </c>
      <c r="M38" s="212" t="s">
        <v>310</v>
      </c>
      <c r="N38" s="212" t="s">
        <v>308</v>
      </c>
      <c r="O38" s="219">
        <v>97.438259000000002</v>
      </c>
      <c r="P38" s="219">
        <v>25.355841999999999</v>
      </c>
      <c r="Q38" s="220">
        <v>0</v>
      </c>
      <c r="R38" s="236"/>
      <c r="S38" s="241"/>
      <c r="T38" s="222" t="str">
        <f>IF(CampList[[#This Row],[HH]]&gt;0,CampList[[#This Row],[Total]]/CampList[[#This Row],[HH]],"NA")</f>
        <v>NA</v>
      </c>
      <c r="U38" s="214" t="s">
        <v>464</v>
      </c>
      <c r="V38" s="214" t="s">
        <v>995</v>
      </c>
      <c r="W38" s="214" t="s">
        <v>849</v>
      </c>
      <c r="X38" s="214" t="s">
        <v>742</v>
      </c>
      <c r="Y38" s="223">
        <v>40848</v>
      </c>
      <c r="Z38" s="223" t="s">
        <v>424</v>
      </c>
      <c r="AA38" s="212" t="s">
        <v>774</v>
      </c>
      <c r="AB38" s="225">
        <v>42432</v>
      </c>
      <c r="AC38" s="226" t="s">
        <v>1087</v>
      </c>
      <c r="AD38" s="214" t="str">
        <f ca="1">IFERROR(OFFSET(DistanceToCamp[Nearest Town],MATCH(CampList[[#This Row],[CP_Pcode]],DistanceToCamp[CP_Pcode],0)-1,0,1,1),"")</f>
        <v>Waingmaw Town</v>
      </c>
      <c r="AE38" s="227">
        <f ca="1">IFERROR(OFFSET(DistanceToCamp[distance],MATCH(CampList[[#This Row],[CP_Pcode]],DistanceToCamp[CP_Pcode],0)-1,0,1,1),"")</f>
        <v>0.70725493400809891</v>
      </c>
      <c r="AF38" s="228">
        <f ca="1">IFERROR(INT(CampList[[#This Row],[Distance]]/5)+1,"")</f>
        <v>1</v>
      </c>
    </row>
    <row r="39" spans="2:32" ht="15.75" customHeight="1" x14ac:dyDescent="0.3">
      <c r="B39" s="239" t="s">
        <v>460</v>
      </c>
      <c r="C39" s="212" t="s">
        <v>378</v>
      </c>
      <c r="D39" s="212" t="s">
        <v>478</v>
      </c>
      <c r="E39" s="212" t="s">
        <v>237</v>
      </c>
      <c r="F39" s="212" t="s">
        <v>484</v>
      </c>
      <c r="G39" s="212" t="s">
        <v>309</v>
      </c>
      <c r="H39" s="212" t="s">
        <v>485</v>
      </c>
      <c r="I39" s="212" t="s">
        <v>635</v>
      </c>
      <c r="J39" s="212" t="s">
        <v>636</v>
      </c>
      <c r="K39" s="212" t="s">
        <v>637</v>
      </c>
      <c r="L39" s="212" t="s">
        <v>638</v>
      </c>
      <c r="M39" s="212" t="s">
        <v>347</v>
      </c>
      <c r="N39" s="212" t="s">
        <v>346</v>
      </c>
      <c r="O39" s="219">
        <v>97.428251153846105</v>
      </c>
      <c r="P39" s="219">
        <v>25.333683333333301</v>
      </c>
      <c r="Q39" s="220"/>
      <c r="R39" s="292">
        <v>46</v>
      </c>
      <c r="S39" s="292">
        <v>192</v>
      </c>
      <c r="T39" s="222">
        <f>IF(CampList[[#This Row],[HH]]&gt;0,CampList[[#This Row],[Total]]/CampList[[#This Row],[HH]],"NA")</f>
        <v>4.1739130434782608</v>
      </c>
      <c r="U39" s="214" t="s">
        <v>464</v>
      </c>
      <c r="V39" s="214" t="s">
        <v>995</v>
      </c>
      <c r="W39" s="214" t="s">
        <v>507</v>
      </c>
      <c r="X39" s="214" t="s">
        <v>742</v>
      </c>
      <c r="Y39" s="331">
        <v>40848</v>
      </c>
      <c r="Z39" s="223" t="s">
        <v>462</v>
      </c>
      <c r="AA39" s="212" t="s">
        <v>774</v>
      </c>
      <c r="AB39" s="225">
        <v>43235</v>
      </c>
      <c r="AC39" s="226" t="s">
        <v>1722</v>
      </c>
      <c r="AD39" s="214" t="str">
        <f ca="1">IFERROR(OFFSET(DistanceToCamp[Nearest Town],MATCH(CampList[[#This Row],[CP_Pcode]],DistanceToCamp[CP_Pcode],0)-1,0,1,1),"")</f>
        <v>Waingmaw Town</v>
      </c>
      <c r="AE39" s="227">
        <f ca="1">IFERROR(OFFSET(DistanceToCamp[distance],MATCH(CampList[[#This Row],[CP_Pcode]],DistanceToCamp[CP_Pcode],0)-1,0,1,1),"")</f>
        <v>2.4174307716662291</v>
      </c>
      <c r="AF39" s="228">
        <f ca="1">IFERROR(INT(CampList[[#This Row],[Distance]]/5)+1,"")</f>
        <v>1</v>
      </c>
    </row>
    <row r="40" spans="2:32" ht="15.75" customHeight="1" x14ac:dyDescent="0.3">
      <c r="B40" s="239" t="s">
        <v>460</v>
      </c>
      <c r="C40" s="212" t="s">
        <v>378</v>
      </c>
      <c r="D40" s="212" t="s">
        <v>478</v>
      </c>
      <c r="E40" s="212" t="s">
        <v>237</v>
      </c>
      <c r="F40" s="212" t="s">
        <v>484</v>
      </c>
      <c r="G40" s="212" t="s">
        <v>309</v>
      </c>
      <c r="H40" s="212" t="s">
        <v>485</v>
      </c>
      <c r="I40" s="212" t="s">
        <v>635</v>
      </c>
      <c r="J40" s="212" t="s">
        <v>636</v>
      </c>
      <c r="K40" s="212" t="s">
        <v>654</v>
      </c>
      <c r="L40" s="212" t="s">
        <v>655</v>
      </c>
      <c r="M40" s="212" t="s">
        <v>315</v>
      </c>
      <c r="N40" s="212" t="s">
        <v>314</v>
      </c>
      <c r="O40" s="219">
        <v>97.444283730158702</v>
      </c>
      <c r="P40" s="219">
        <v>25.351250396825399</v>
      </c>
      <c r="Q40" s="220">
        <v>476</v>
      </c>
      <c r="R40" s="292">
        <v>69</v>
      </c>
      <c r="S40" s="292">
        <v>290</v>
      </c>
      <c r="T40" s="222">
        <f>IF(CampList[[#This Row],[HH]]&gt;0,CampList[[#This Row],[Total]]/CampList[[#This Row],[HH]],"NA")</f>
        <v>4.2028985507246377</v>
      </c>
      <c r="U40" s="214" t="s">
        <v>464</v>
      </c>
      <c r="V40" s="214" t="s">
        <v>995</v>
      </c>
      <c r="W40" s="214" t="s">
        <v>507</v>
      </c>
      <c r="X40" s="214" t="s">
        <v>742</v>
      </c>
      <c r="Y40" s="331">
        <v>40848</v>
      </c>
      <c r="Z40" s="223" t="s">
        <v>462</v>
      </c>
      <c r="AA40" s="212" t="s">
        <v>774</v>
      </c>
      <c r="AB40" s="225">
        <v>43235</v>
      </c>
      <c r="AC40" s="226" t="s">
        <v>1722</v>
      </c>
      <c r="AD40" s="214" t="str">
        <f ca="1">IFERROR(OFFSET(DistanceToCamp[Nearest Town],MATCH(CampList[[#This Row],[CP_Pcode]],DistanceToCamp[CP_Pcode],0)-1,0,1,1),"")</f>
        <v>Waingmaw Town</v>
      </c>
      <c r="AE40" s="227">
        <f ca="1">IFERROR(OFFSET(DistanceToCamp[distance],MATCH(CampList[[#This Row],[CP_Pcode]],DistanceToCamp[CP_Pcode],0)-1,0,1,1),"")</f>
        <v>0.15089472113650237</v>
      </c>
      <c r="AF40" s="228">
        <f ca="1">IFERROR(INT(CampList[[#This Row],[Distance]]/5)+1,"")</f>
        <v>1</v>
      </c>
    </row>
    <row r="41" spans="2:32" ht="15.75" customHeight="1" x14ac:dyDescent="0.3">
      <c r="B41" s="239" t="s">
        <v>460</v>
      </c>
      <c r="C41" s="212" t="s">
        <v>378</v>
      </c>
      <c r="D41" s="212" t="s">
        <v>478</v>
      </c>
      <c r="E41" s="212" t="s">
        <v>237</v>
      </c>
      <c r="F41" s="212" t="s">
        <v>484</v>
      </c>
      <c r="G41" s="212" t="s">
        <v>309</v>
      </c>
      <c r="H41" s="212" t="s">
        <v>485</v>
      </c>
      <c r="I41" s="212" t="s">
        <v>633</v>
      </c>
      <c r="J41" s="212" t="s">
        <v>634</v>
      </c>
      <c r="K41" s="212" t="s">
        <v>633</v>
      </c>
      <c r="L41" s="212">
        <v>165740</v>
      </c>
      <c r="M41" s="212" t="s">
        <v>325</v>
      </c>
      <c r="N41" s="212" t="s">
        <v>324</v>
      </c>
      <c r="O41" s="219">
        <v>97.426536944444507</v>
      </c>
      <c r="P41" s="219">
        <v>25.409612685185198</v>
      </c>
      <c r="Q41" s="220">
        <v>0</v>
      </c>
      <c r="R41" s="292">
        <v>47</v>
      </c>
      <c r="S41" s="292">
        <v>208</v>
      </c>
      <c r="T41" s="222">
        <f>IF(CampList[[#This Row],[HH]]&gt;0,CampList[[#This Row],[Total]]/CampList[[#This Row],[HH]],"NA")</f>
        <v>4.4255319148936172</v>
      </c>
      <c r="U41" s="214" t="s">
        <v>464</v>
      </c>
      <c r="V41" s="214" t="s">
        <v>995</v>
      </c>
      <c r="W41" s="214" t="s">
        <v>507</v>
      </c>
      <c r="X41" s="214" t="s">
        <v>742</v>
      </c>
      <c r="Y41" s="331">
        <v>40878</v>
      </c>
      <c r="Z41" s="223" t="s">
        <v>424</v>
      </c>
      <c r="AA41" s="239" t="s">
        <v>774</v>
      </c>
      <c r="AB41" s="225">
        <v>43235</v>
      </c>
      <c r="AC41" s="218" t="s">
        <v>1748</v>
      </c>
      <c r="AD41" s="214" t="str">
        <f ca="1">IFERROR(OFFSET(DistanceToCamp[Nearest Town],MATCH(CampList[[#This Row],[CP_Pcode]],DistanceToCamp[CP_Pcode],0)-1,0,1,1),"")</f>
        <v>Myitkyina Town</v>
      </c>
      <c r="AE41" s="227">
        <f ca="1">IFERROR(OFFSET(DistanceToCamp[distance],MATCH(CampList[[#This Row],[CP_Pcode]],DistanceToCamp[CP_Pcode],0)-1,0,1,1),"")</f>
        <v>4.3887485673235673</v>
      </c>
      <c r="AF41" s="228">
        <f ca="1">IFERROR(INT(CampList[[#This Row],[Distance]]/5)+1,"")</f>
        <v>1</v>
      </c>
    </row>
    <row r="42" spans="2:32" ht="15.75" customHeight="1" x14ac:dyDescent="0.3">
      <c r="B42" s="239" t="s">
        <v>460</v>
      </c>
      <c r="C42" s="212" t="s">
        <v>378</v>
      </c>
      <c r="D42" s="212" t="s">
        <v>478</v>
      </c>
      <c r="E42" s="212" t="s">
        <v>237</v>
      </c>
      <c r="F42" s="212" t="s">
        <v>484</v>
      </c>
      <c r="G42" s="212" t="s">
        <v>309</v>
      </c>
      <c r="H42" s="212" t="s">
        <v>485</v>
      </c>
      <c r="I42" s="212" t="s">
        <v>633</v>
      </c>
      <c r="J42" s="212" t="s">
        <v>634</v>
      </c>
      <c r="K42" s="212" t="s">
        <v>633</v>
      </c>
      <c r="L42" s="212">
        <v>165740</v>
      </c>
      <c r="M42" s="212" t="s">
        <v>323</v>
      </c>
      <c r="N42" s="212" t="s">
        <v>322</v>
      </c>
      <c r="O42" s="219">
        <v>97.434855869565197</v>
      </c>
      <c r="P42" s="219">
        <v>25.4118005797101</v>
      </c>
      <c r="Q42" s="220">
        <v>0</v>
      </c>
      <c r="R42" s="292">
        <v>510</v>
      </c>
      <c r="S42" s="292">
        <v>2680</v>
      </c>
      <c r="T42" s="222">
        <f>IF(CampList[[#This Row],[HH]]&gt;0,CampList[[#This Row],[Total]]/CampList[[#This Row],[HH]],"NA")</f>
        <v>5.2549019607843137</v>
      </c>
      <c r="U42" s="214" t="s">
        <v>464</v>
      </c>
      <c r="V42" s="214" t="s">
        <v>995</v>
      </c>
      <c r="W42" s="214" t="s">
        <v>507</v>
      </c>
      <c r="X42" s="214" t="s">
        <v>784</v>
      </c>
      <c r="Y42" s="331">
        <v>41061</v>
      </c>
      <c r="Z42" s="223" t="s">
        <v>424</v>
      </c>
      <c r="AA42" s="239" t="s">
        <v>774</v>
      </c>
      <c r="AB42" s="225">
        <v>43235</v>
      </c>
      <c r="AC42" s="218" t="s">
        <v>1749</v>
      </c>
      <c r="AD42" s="214" t="str">
        <f ca="1">IFERROR(OFFSET(DistanceToCamp[Nearest Town],MATCH(CampList[[#This Row],[CP_Pcode]],DistanceToCamp[CP_Pcode],0)-1,0,1,1),"")</f>
        <v>Myitkyina Town</v>
      </c>
      <c r="AE42" s="227">
        <f ca="1">IFERROR(OFFSET(DistanceToCamp[distance],MATCH(CampList[[#This Row],[CP_Pcode]],DistanceToCamp[CP_Pcode],0)-1,0,1,1),"")</f>
        <v>5.2238983299151851</v>
      </c>
      <c r="AF42" s="228">
        <f ca="1">IFERROR(INT(CampList[[#This Row],[Distance]]/5)+1,"")</f>
        <v>2</v>
      </c>
    </row>
    <row r="43" spans="2:32" ht="15.75" customHeight="1" x14ac:dyDescent="0.3">
      <c r="B43" s="239" t="s">
        <v>460</v>
      </c>
      <c r="C43" s="212" t="s">
        <v>378</v>
      </c>
      <c r="D43" s="212" t="s">
        <v>478</v>
      </c>
      <c r="E43" s="212" t="s">
        <v>237</v>
      </c>
      <c r="F43" s="212" t="s">
        <v>484</v>
      </c>
      <c r="G43" s="212" t="s">
        <v>309</v>
      </c>
      <c r="H43" s="212" t="s">
        <v>485</v>
      </c>
      <c r="I43" s="212" t="s">
        <v>711</v>
      </c>
      <c r="J43" s="212" t="s">
        <v>712</v>
      </c>
      <c r="K43" s="212" t="s">
        <v>713</v>
      </c>
      <c r="L43" s="212">
        <v>165845</v>
      </c>
      <c r="M43" s="212" t="s">
        <v>345</v>
      </c>
      <c r="N43" s="212" t="s">
        <v>344</v>
      </c>
      <c r="O43" s="219">
        <v>98.025662999999994</v>
      </c>
      <c r="P43" s="219">
        <v>25.418084</v>
      </c>
      <c r="Q43" s="220"/>
      <c r="R43" s="292">
        <v>181</v>
      </c>
      <c r="S43" s="292">
        <v>1001</v>
      </c>
      <c r="T43" s="222">
        <f>IF(CampList[[#This Row],[HH]]&gt;0,CampList[[#This Row],[Total]]/CampList[[#This Row],[HH]],"NA")</f>
        <v>5.5303867403314921</v>
      </c>
      <c r="U43" s="214" t="s">
        <v>464</v>
      </c>
      <c r="V43" s="214" t="s">
        <v>995</v>
      </c>
      <c r="W43" s="214" t="s">
        <v>507</v>
      </c>
      <c r="X43" s="214" t="s">
        <v>784</v>
      </c>
      <c r="Y43" s="331">
        <v>40848</v>
      </c>
      <c r="Z43" s="223" t="s">
        <v>424</v>
      </c>
      <c r="AA43" s="212" t="s">
        <v>774</v>
      </c>
      <c r="AB43" s="225">
        <v>43235</v>
      </c>
      <c r="AC43" s="226" t="s">
        <v>1750</v>
      </c>
      <c r="AD43" s="214" t="str">
        <f ca="1">IFERROR(OFFSET(DistanceToCamp[Nearest Town],MATCH(CampList[[#This Row],[CP_Pcode]],DistanceToCamp[CP_Pcode],0)-1,0,1,1),"")</f>
        <v>Kan Paik Ti Town</v>
      </c>
      <c r="AE43" s="227">
        <f ca="1">IFERROR(OFFSET(DistanceToCamp[distance],MATCH(CampList[[#This Row],[CP_Pcode]],DistanceToCamp[CP_Pcode],0)-1,0,1,1),"")</f>
        <v>9.3609732231189877</v>
      </c>
      <c r="AF43" s="228">
        <f ca="1">IFERROR(INT(CampList[[#This Row],[Distance]]/5)+1,"")</f>
        <v>2</v>
      </c>
    </row>
    <row r="44" spans="2:32" ht="15.75" customHeight="1" x14ac:dyDescent="0.3">
      <c r="B44" s="218" t="s">
        <v>460</v>
      </c>
      <c r="C44" s="212" t="s">
        <v>378</v>
      </c>
      <c r="D44" s="212" t="s">
        <v>478</v>
      </c>
      <c r="E44" s="212" t="s">
        <v>237</v>
      </c>
      <c r="F44" s="212" t="s">
        <v>484</v>
      </c>
      <c r="G44" s="212" t="s">
        <v>27</v>
      </c>
      <c r="H44" s="212" t="s">
        <v>487</v>
      </c>
      <c r="I44" s="212" t="s">
        <v>731</v>
      </c>
      <c r="J44" s="212" t="s">
        <v>732</v>
      </c>
      <c r="K44" s="212" t="s">
        <v>1095</v>
      </c>
      <c r="L44" s="230" t="s">
        <v>1094</v>
      </c>
      <c r="M44" s="212" t="s">
        <v>28</v>
      </c>
      <c r="N44" s="212" t="s">
        <v>30</v>
      </c>
      <c r="O44" s="219">
        <v>98.131550000000004</v>
      </c>
      <c r="P44" s="219">
        <v>25.889410000000002</v>
      </c>
      <c r="Q44" s="220">
        <v>304</v>
      </c>
      <c r="R44" s="292">
        <v>107</v>
      </c>
      <c r="S44" s="292">
        <v>559</v>
      </c>
      <c r="T44" s="222">
        <f>IF(CampList[[#This Row],[HH]]&gt;0,CampList[[#This Row],[Total]]/CampList[[#This Row],[HH]],"NA")</f>
        <v>5.2242990654205608</v>
      </c>
      <c r="U44" s="214" t="s">
        <v>464</v>
      </c>
      <c r="V44" s="214" t="s">
        <v>995</v>
      </c>
      <c r="W44" s="214" t="s">
        <v>507</v>
      </c>
      <c r="X44" s="214" t="s">
        <v>742</v>
      </c>
      <c r="Y44" s="331">
        <v>41244</v>
      </c>
      <c r="Z44" s="223" t="s">
        <v>462</v>
      </c>
      <c r="AA44" s="239" t="s">
        <v>774</v>
      </c>
      <c r="AB44" s="225">
        <v>43235</v>
      </c>
      <c r="AC44" s="218" t="s">
        <v>1709</v>
      </c>
      <c r="AD44" s="214" t="str">
        <f ca="1">IFERROR(OFFSET(DistanceToCamp[Nearest Town],MATCH(CampList[[#This Row],[CP_Pcode]],DistanceToCamp[CP_Pcode],0)-1,0,1,1),"")</f>
        <v>Chipwi Town</v>
      </c>
      <c r="AE44" s="227">
        <f ca="1">IFERROR(OFFSET(DistanceToCamp[distance],MATCH(CampList[[#This Row],[CP_Pcode]],DistanceToCamp[CP_Pcode],0)-1,0,1,1),"")</f>
        <v>0.15809623370782155</v>
      </c>
      <c r="AF44" s="228">
        <f ca="1">IFERROR(INT(CampList[[#This Row],[Distance]]/5)+1,"")</f>
        <v>1</v>
      </c>
    </row>
    <row r="45" spans="2:32" ht="15.75" customHeight="1" x14ac:dyDescent="0.3">
      <c r="B45" s="218" t="s">
        <v>460</v>
      </c>
      <c r="C45" s="212" t="s">
        <v>378</v>
      </c>
      <c r="D45" s="212" t="s">
        <v>478</v>
      </c>
      <c r="E45" s="212" t="s">
        <v>237</v>
      </c>
      <c r="F45" s="212" t="s">
        <v>484</v>
      </c>
      <c r="G45" s="212" t="s">
        <v>27</v>
      </c>
      <c r="H45" s="212" t="s">
        <v>487</v>
      </c>
      <c r="I45" s="226" t="s">
        <v>733</v>
      </c>
      <c r="J45" s="226" t="s">
        <v>734</v>
      </c>
      <c r="K45" s="226" t="s">
        <v>735</v>
      </c>
      <c r="L45" s="226">
        <v>166355</v>
      </c>
      <c r="M45" s="212" t="s">
        <v>362</v>
      </c>
      <c r="N45" s="212" t="s">
        <v>29</v>
      </c>
      <c r="O45" s="219">
        <v>98.475719999999995</v>
      </c>
      <c r="P45" s="219">
        <v>25.754110000000001</v>
      </c>
      <c r="Q45" s="220">
        <v>2785</v>
      </c>
      <c r="R45" s="292">
        <v>160</v>
      </c>
      <c r="S45" s="292">
        <v>830</v>
      </c>
      <c r="T45" s="222">
        <f>IF(CampList[[#This Row],[HH]]&gt;0,CampList[[#This Row],[Total]]/CampList[[#This Row],[HH]],"NA")</f>
        <v>5.1875</v>
      </c>
      <c r="U45" s="214" t="s">
        <v>466</v>
      </c>
      <c r="V45" s="214" t="s">
        <v>995</v>
      </c>
      <c r="W45" s="214" t="s">
        <v>507</v>
      </c>
      <c r="X45" s="214" t="s">
        <v>785</v>
      </c>
      <c r="Y45" s="331">
        <v>41030</v>
      </c>
      <c r="Z45" s="223" t="s">
        <v>424</v>
      </c>
      <c r="AA45" s="239" t="s">
        <v>774</v>
      </c>
      <c r="AB45" s="225">
        <v>43235</v>
      </c>
      <c r="AC45" s="218" t="s">
        <v>1751</v>
      </c>
      <c r="AD45" s="214" t="str">
        <f ca="1">IFERROR(OFFSET(DistanceToCamp[Nearest Town],MATCH(CampList[[#This Row],[CP_Pcode]],DistanceToCamp[CP_Pcode],0)-1,0,1,1),"")</f>
        <v>Pang War Town</v>
      </c>
      <c r="AE45" s="227">
        <f ca="1">IFERROR(OFFSET(DistanceToCamp[distance],MATCH(CampList[[#This Row],[CP_Pcode]],DistanceToCamp[CP_Pcode],0)-1,0,1,1),"")</f>
        <v>19.834999342466848</v>
      </c>
      <c r="AF45" s="228">
        <f ca="1">IFERROR(INT(CampList[[#This Row],[Distance]]/5)+1,"")</f>
        <v>4</v>
      </c>
    </row>
    <row r="46" spans="2:32" ht="15.75" hidden="1" customHeight="1" x14ac:dyDescent="0.3">
      <c r="B46" s="218" t="s">
        <v>775</v>
      </c>
      <c r="C46" s="212" t="s">
        <v>378</v>
      </c>
      <c r="D46" s="212" t="s">
        <v>478</v>
      </c>
      <c r="E46" s="212" t="s">
        <v>237</v>
      </c>
      <c r="F46" s="212" t="s">
        <v>484</v>
      </c>
      <c r="G46" s="212" t="s">
        <v>27</v>
      </c>
      <c r="H46" s="212" t="s">
        <v>487</v>
      </c>
      <c r="I46" s="212"/>
      <c r="J46" s="212"/>
      <c r="K46" s="212"/>
      <c r="L46" s="212"/>
      <c r="M46" s="212" t="s">
        <v>37</v>
      </c>
      <c r="N46" s="212" t="s">
        <v>36</v>
      </c>
      <c r="O46" s="219"/>
      <c r="P46" s="219"/>
      <c r="Q46" s="233"/>
      <c r="R46" s="302"/>
      <c r="S46" s="303"/>
      <c r="T46" s="222" t="str">
        <f>IF(CampList[[#This Row],[HH]]&gt;0,CampList[[#This Row],[Total]]/CampList[[#This Row],[HH]],"NA")</f>
        <v>NA</v>
      </c>
      <c r="U46" s="214" t="s">
        <v>464</v>
      </c>
      <c r="V46" s="214" t="s">
        <v>995</v>
      </c>
      <c r="W46" s="214" t="s">
        <v>507</v>
      </c>
      <c r="X46" s="214"/>
      <c r="Y46" s="234"/>
      <c r="Z46" s="224"/>
      <c r="AA46" s="321"/>
      <c r="AB46" s="243"/>
      <c r="AC46" s="218" t="s">
        <v>541</v>
      </c>
      <c r="AD46" s="214" t="str">
        <f ca="1">IFERROR(OFFSET(DistanceToCamp[Nearest Town],MATCH(CampList[[#This Row],[CP_Pcode]],DistanceToCamp[CP_Pcode],0)-1,0,1,1),"")</f>
        <v/>
      </c>
      <c r="AE46" s="227" t="str">
        <f ca="1">IFERROR(OFFSET(DistanceToCamp[distance],MATCH(CampList[[#This Row],[CP_Pcode]],DistanceToCamp[CP_Pcode],0)-1,0,1,1),"")</f>
        <v/>
      </c>
      <c r="AF46" s="228" t="str">
        <f ca="1">IFERROR(INT(CampList[[#This Row],[Distance]]/5)+1,"")</f>
        <v/>
      </c>
    </row>
    <row r="47" spans="2:32" ht="15.75" hidden="1" customHeight="1" x14ac:dyDescent="0.3">
      <c r="B47" s="218" t="s">
        <v>775</v>
      </c>
      <c r="C47" s="212" t="s">
        <v>378</v>
      </c>
      <c r="D47" s="212" t="s">
        <v>478</v>
      </c>
      <c r="E47" s="212" t="s">
        <v>237</v>
      </c>
      <c r="F47" s="212" t="s">
        <v>484</v>
      </c>
      <c r="G47" s="212" t="s">
        <v>27</v>
      </c>
      <c r="H47" s="212" t="s">
        <v>487</v>
      </c>
      <c r="I47" s="226" t="s">
        <v>728</v>
      </c>
      <c r="J47" s="226" t="s">
        <v>729</v>
      </c>
      <c r="K47" s="226" t="s">
        <v>730</v>
      </c>
      <c r="L47" s="226">
        <v>166337</v>
      </c>
      <c r="M47" s="212" t="s">
        <v>34</v>
      </c>
      <c r="N47" s="212" t="s">
        <v>33</v>
      </c>
      <c r="O47" s="219">
        <v>98.354146999999998</v>
      </c>
      <c r="P47" s="219">
        <v>25.708763000000001</v>
      </c>
      <c r="Q47" s="233"/>
      <c r="R47" s="329"/>
      <c r="S47" s="330"/>
      <c r="T47" s="222" t="str">
        <f>IF(CampList[[#This Row],[HH]]&gt;0,CampList[[#This Row],[Total]]/CampList[[#This Row],[HH]],"NA")</f>
        <v>NA</v>
      </c>
      <c r="U47" s="214" t="s">
        <v>464</v>
      </c>
      <c r="V47" s="214" t="s">
        <v>995</v>
      </c>
      <c r="W47" s="244" t="s">
        <v>12</v>
      </c>
      <c r="X47" s="214" t="s">
        <v>784</v>
      </c>
      <c r="Y47" s="332"/>
      <c r="Z47" s="224"/>
      <c r="AA47" s="321" t="s">
        <v>774</v>
      </c>
      <c r="AB47" s="342">
        <v>42927</v>
      </c>
      <c r="AC47" s="218" t="s">
        <v>1283</v>
      </c>
      <c r="AD47" s="214" t="str">
        <f ca="1">IFERROR(OFFSET(DistanceToCamp[Nearest Town],MATCH(CampList[[#This Row],[CP_Pcode]],DistanceToCamp[CP_Pcode],0)-1,0,1,1),"")</f>
        <v>Pang War Town</v>
      </c>
      <c r="AE47" s="227">
        <f ca="1">IFERROR(OFFSET(DistanceToCamp[distance],MATCH(CampList[[#This Row],[CP_Pcode]],DistanceToCamp[CP_Pcode],0)-1,0,1,1),"")</f>
        <v>12.486065224161463</v>
      </c>
      <c r="AF47" s="228">
        <f ca="1">IFERROR(INT(CampList[[#This Row],[Distance]]/5)+1,"")</f>
        <v>3</v>
      </c>
    </row>
    <row r="48" spans="2:32" ht="15.75" hidden="1" customHeight="1" x14ac:dyDescent="0.3">
      <c r="B48" s="218" t="s">
        <v>775</v>
      </c>
      <c r="C48" s="212" t="s">
        <v>378</v>
      </c>
      <c r="D48" s="212" t="s">
        <v>478</v>
      </c>
      <c r="E48" s="212" t="s">
        <v>237</v>
      </c>
      <c r="F48" s="212" t="s">
        <v>484</v>
      </c>
      <c r="G48" s="212" t="s">
        <v>27</v>
      </c>
      <c r="H48" s="212" t="s">
        <v>487</v>
      </c>
      <c r="I48" s="212"/>
      <c r="J48" s="212"/>
      <c r="K48" s="212"/>
      <c r="L48" s="212"/>
      <c r="M48" s="212" t="s">
        <v>32</v>
      </c>
      <c r="N48" s="212" t="s">
        <v>31</v>
      </c>
      <c r="O48" s="219"/>
      <c r="P48" s="219"/>
      <c r="Q48" s="233"/>
      <c r="R48" s="302"/>
      <c r="S48" s="303"/>
      <c r="T48" s="222" t="str">
        <f>IF(CampList[[#This Row],[HH]]&gt;0,CampList[[#This Row],[Total]]/CampList[[#This Row],[HH]],"NA")</f>
        <v>NA</v>
      </c>
      <c r="U48" s="214" t="s">
        <v>464</v>
      </c>
      <c r="V48" s="214" t="s">
        <v>995</v>
      </c>
      <c r="W48" s="214" t="s">
        <v>507</v>
      </c>
      <c r="X48" s="214" t="s">
        <v>784</v>
      </c>
      <c r="Y48" s="234"/>
      <c r="Z48" s="223" t="s">
        <v>936</v>
      </c>
      <c r="AA48" s="239" t="s">
        <v>774</v>
      </c>
      <c r="AB48" s="225">
        <v>42096</v>
      </c>
      <c r="AC48" s="218" t="s">
        <v>1028</v>
      </c>
      <c r="AD48" s="214" t="str">
        <f ca="1">IFERROR(OFFSET(DistanceToCamp[Nearest Town],MATCH(CampList[[#This Row],[CP_Pcode]],DistanceToCamp[CP_Pcode],0)-1,0,1,1),"")</f>
        <v/>
      </c>
      <c r="AE48" s="227" t="str">
        <f ca="1">IFERROR(OFFSET(DistanceToCamp[distance],MATCH(CampList[[#This Row],[CP_Pcode]],DistanceToCamp[CP_Pcode],0)-1,0,1,1),"")</f>
        <v/>
      </c>
      <c r="AF48" s="228" t="str">
        <f ca="1">IFERROR(INT(CampList[[#This Row],[Distance]]/5)+1,"")</f>
        <v/>
      </c>
    </row>
    <row r="49" spans="2:32" ht="15.75" customHeight="1" x14ac:dyDescent="0.3">
      <c r="B49" s="218" t="s">
        <v>460</v>
      </c>
      <c r="C49" s="212" t="s">
        <v>378</v>
      </c>
      <c r="D49" s="212" t="s">
        <v>478</v>
      </c>
      <c r="E49" s="212" t="s">
        <v>5</v>
      </c>
      <c r="F49" s="212" t="s">
        <v>482</v>
      </c>
      <c r="G49" s="212" t="s">
        <v>5</v>
      </c>
      <c r="H49" s="212" t="s">
        <v>483</v>
      </c>
      <c r="I49" s="212" t="s">
        <v>577</v>
      </c>
      <c r="J49" s="212" t="s">
        <v>578</v>
      </c>
      <c r="K49" s="212" t="s">
        <v>581</v>
      </c>
      <c r="L49" s="212" t="s">
        <v>582</v>
      </c>
      <c r="M49" s="212" t="s">
        <v>22</v>
      </c>
      <c r="N49" s="212" t="s">
        <v>21</v>
      </c>
      <c r="O49" s="219">
        <v>97.229116811594196</v>
      </c>
      <c r="P49" s="219">
        <v>24.268292826086999</v>
      </c>
      <c r="Q49" s="220"/>
      <c r="R49" s="292">
        <v>641</v>
      </c>
      <c r="S49" s="292">
        <v>4010</v>
      </c>
      <c r="T49" s="222">
        <f>IF(CampList[[#This Row],[HH]]&gt;0,CampList[[#This Row],[Total]]/CampList[[#This Row],[HH]],"NA")</f>
        <v>6.25585023400936</v>
      </c>
      <c r="U49" s="214" t="s">
        <v>464</v>
      </c>
      <c r="V49" s="214" t="s">
        <v>995</v>
      </c>
      <c r="W49" s="214" t="s">
        <v>507</v>
      </c>
      <c r="X49" s="214" t="s">
        <v>742</v>
      </c>
      <c r="Y49" s="331">
        <v>40725</v>
      </c>
      <c r="Z49" s="223" t="s">
        <v>424</v>
      </c>
      <c r="AA49" s="212" t="s">
        <v>774</v>
      </c>
      <c r="AB49" s="225">
        <v>43235</v>
      </c>
      <c r="AC49" s="226" t="s">
        <v>1752</v>
      </c>
      <c r="AD49" s="214" t="str">
        <f ca="1">IFERROR(OFFSET(DistanceToCamp[Nearest Town],MATCH(CampList[[#This Row],[CP_Pcode]],DistanceToCamp[CP_Pcode],0)-1,0,1,1),"")</f>
        <v>Bhamo Town</v>
      </c>
      <c r="AE49" s="227">
        <f ca="1">IFERROR(OFFSET(DistanceToCamp[distance],MATCH(CampList[[#This Row],[CP_Pcode]],DistanceToCamp[CP_Pcode],0)-1,0,1,1),"")</f>
        <v>1.5797992800898704</v>
      </c>
      <c r="AF49" s="228">
        <f ca="1">IFERROR(INT(CampList[[#This Row],[Distance]]/5)+1,"")</f>
        <v>1</v>
      </c>
    </row>
    <row r="50" spans="2:32" ht="15.75" hidden="1" customHeight="1" x14ac:dyDescent="0.3">
      <c r="B50" s="218" t="s">
        <v>775</v>
      </c>
      <c r="C50" s="212" t="s">
        <v>378</v>
      </c>
      <c r="D50" s="212" t="s">
        <v>478</v>
      </c>
      <c r="E50" s="212" t="s">
        <v>5</v>
      </c>
      <c r="F50" s="212" t="s">
        <v>482</v>
      </c>
      <c r="G50" s="212" t="s">
        <v>5</v>
      </c>
      <c r="H50" s="212" t="s">
        <v>483</v>
      </c>
      <c r="I50" s="212"/>
      <c r="J50" s="212"/>
      <c r="K50" s="212"/>
      <c r="L50" s="212"/>
      <c r="M50" s="212" t="s">
        <v>16</v>
      </c>
      <c r="N50" s="212" t="s">
        <v>15</v>
      </c>
      <c r="O50" s="219">
        <v>97.221556500999995</v>
      </c>
      <c r="P50" s="219">
        <v>24.262418020999998</v>
      </c>
      <c r="Q50" s="233"/>
      <c r="R50" s="302"/>
      <c r="S50" s="303"/>
      <c r="T50" s="222" t="str">
        <f>IF(CampList[[#This Row],[HH]]&gt;0,CampList[[#This Row],[Total]]/CampList[[#This Row],[HH]],"NA")</f>
        <v>NA</v>
      </c>
      <c r="U50" s="214" t="s">
        <v>464</v>
      </c>
      <c r="V50" s="214" t="s">
        <v>995</v>
      </c>
      <c r="W50" s="214" t="s">
        <v>507</v>
      </c>
      <c r="X50" s="214"/>
      <c r="Y50" s="234"/>
      <c r="Z50" s="224"/>
      <c r="AA50" s="239" t="s">
        <v>774</v>
      </c>
      <c r="AB50" s="225">
        <v>41661</v>
      </c>
      <c r="AC50" s="218" t="s">
        <v>843</v>
      </c>
      <c r="AD50" s="214" t="str">
        <f ca="1">IFERROR(OFFSET(DistanceToCamp[Nearest Town],MATCH(CampList[[#This Row],[CP_Pcode]],DistanceToCamp[CP_Pcode],0)-1,0,1,1),"")</f>
        <v/>
      </c>
      <c r="AE50" s="227" t="str">
        <f ca="1">IFERROR(OFFSET(DistanceToCamp[distance],MATCH(CampList[[#This Row],[CP_Pcode]],DistanceToCamp[CP_Pcode],0)-1,0,1,1),"")</f>
        <v/>
      </c>
      <c r="AF50" s="228" t="str">
        <f ca="1">IFERROR(INT(CampList[[#This Row],[Distance]]/5)+1,"")</f>
        <v/>
      </c>
    </row>
    <row r="51" spans="2:32" ht="15.75" customHeight="1" x14ac:dyDescent="0.3">
      <c r="B51" s="218" t="s">
        <v>460</v>
      </c>
      <c r="C51" s="212" t="s">
        <v>378</v>
      </c>
      <c r="D51" s="212" t="s">
        <v>478</v>
      </c>
      <c r="E51" s="212" t="s">
        <v>5</v>
      </c>
      <c r="F51" s="212" t="s">
        <v>482</v>
      </c>
      <c r="G51" s="212" t="s">
        <v>5</v>
      </c>
      <c r="H51" s="212" t="s">
        <v>483</v>
      </c>
      <c r="I51" s="226" t="s">
        <v>1090</v>
      </c>
      <c r="J51" s="226" t="s">
        <v>1091</v>
      </c>
      <c r="K51" s="226" t="s">
        <v>1090</v>
      </c>
      <c r="L51" s="238">
        <v>166836</v>
      </c>
      <c r="M51" s="212" t="s">
        <v>18</v>
      </c>
      <c r="N51" s="212" t="s">
        <v>17</v>
      </c>
      <c r="O51" s="219">
        <v>97.240183461538507</v>
      </c>
      <c r="P51" s="219">
        <v>24.2631743589744</v>
      </c>
      <c r="Q51" s="220">
        <v>0</v>
      </c>
      <c r="R51" s="292">
        <v>129</v>
      </c>
      <c r="S51" s="292">
        <v>742</v>
      </c>
      <c r="T51" s="222">
        <f>IF(CampList[[#This Row],[HH]]&gt;0,CampList[[#This Row],[Total]]/CampList[[#This Row],[HH]],"NA")</f>
        <v>5.7519379844961236</v>
      </c>
      <c r="U51" s="214" t="s">
        <v>464</v>
      </c>
      <c r="V51" s="214" t="s">
        <v>995</v>
      </c>
      <c r="W51" s="214" t="s">
        <v>507</v>
      </c>
      <c r="X51" s="214" t="s">
        <v>742</v>
      </c>
      <c r="Y51" s="331">
        <v>40695</v>
      </c>
      <c r="Z51" s="223" t="s">
        <v>462</v>
      </c>
      <c r="AA51" s="239" t="s">
        <v>774</v>
      </c>
      <c r="AB51" s="225">
        <v>43235</v>
      </c>
      <c r="AC51" s="218" t="s">
        <v>1715</v>
      </c>
      <c r="AD51" s="214" t="str">
        <f ca="1">IFERROR(OFFSET(DistanceToCamp[Nearest Town],MATCH(CampList[[#This Row],[CP_Pcode]],DistanceToCamp[CP_Pcode],0)-1,0,1,1),"")</f>
        <v>Bhamo Town</v>
      </c>
      <c r="AE51" s="227">
        <f ca="1">IFERROR(OFFSET(DistanceToCamp[distance],MATCH(CampList[[#This Row],[CP_Pcode]],DistanceToCamp[CP_Pcode],0)-1,0,1,1),"")</f>
        <v>1.0876401420946245</v>
      </c>
      <c r="AF51" s="228">
        <f ca="1">IFERROR(INT(CampList[[#This Row],[Distance]]/5)+1,"")</f>
        <v>1</v>
      </c>
    </row>
    <row r="52" spans="2:32" ht="15.75" customHeight="1" x14ac:dyDescent="0.3">
      <c r="B52" s="231" t="s">
        <v>460</v>
      </c>
      <c r="C52" s="213" t="s">
        <v>378</v>
      </c>
      <c r="D52" s="213" t="s">
        <v>478</v>
      </c>
      <c r="E52" s="213" t="s">
        <v>5</v>
      </c>
      <c r="F52" s="213" t="s">
        <v>482</v>
      </c>
      <c r="G52" s="213" t="s">
        <v>5</v>
      </c>
      <c r="H52" s="213" t="s">
        <v>483</v>
      </c>
      <c r="I52" s="213" t="s">
        <v>1090</v>
      </c>
      <c r="J52" s="232" t="s">
        <v>1091</v>
      </c>
      <c r="K52" s="213" t="s">
        <v>1090</v>
      </c>
      <c r="L52" s="213">
        <v>166836</v>
      </c>
      <c r="M52" s="213" t="s">
        <v>6</v>
      </c>
      <c r="N52" s="213" t="s">
        <v>4</v>
      </c>
      <c r="O52" s="221">
        <v>97.238829999999993</v>
      </c>
      <c r="P52" s="221">
        <v>24.260719999999999</v>
      </c>
      <c r="Q52" s="233"/>
      <c r="R52" s="221">
        <v>257</v>
      </c>
      <c r="S52" s="221">
        <v>1278</v>
      </c>
      <c r="T52" s="222">
        <f>IF(CampList[[#This Row],[HH]]&gt;0,CampList[[#This Row],[Total]]/CampList[[#This Row],[HH]],"NA")</f>
        <v>4.972762645914397</v>
      </c>
      <c r="U52" s="197" t="s">
        <v>464</v>
      </c>
      <c r="V52" s="214" t="s">
        <v>995</v>
      </c>
      <c r="W52" s="197" t="s">
        <v>507</v>
      </c>
      <c r="X52" s="197" t="s">
        <v>742</v>
      </c>
      <c r="Y52" s="332">
        <v>40848</v>
      </c>
      <c r="Z52" s="233" t="s">
        <v>935</v>
      </c>
      <c r="AA52" s="213" t="s">
        <v>774</v>
      </c>
      <c r="AB52" s="225">
        <v>43230</v>
      </c>
      <c r="AC52" s="235" t="s">
        <v>1678</v>
      </c>
      <c r="AD52" s="236" t="str">
        <f ca="1">IFERROR(OFFSET(DistanceToCamp[Nearest Town],MATCH(CampList[[#This Row],[CP_Pcode]],DistanceToCamp[CP_Pcode],0)-1,0,1,1),"")</f>
        <v>Bhamo Town</v>
      </c>
      <c r="AE52" s="227">
        <f ca="1">IFERROR(OFFSET(DistanceToCamp[distance],MATCH(CampList[[#This Row],[CP_Pcode]],DistanceToCamp[CP_Pcode],0)-1,0,1,1),"")</f>
        <v>0.78440046838596356</v>
      </c>
      <c r="AF52" s="237">
        <f ca="1">IFERROR(INT(CampList[[#This Row],[Distance]]/5)+1,"")</f>
        <v>1</v>
      </c>
    </row>
    <row r="53" spans="2:32" ht="15.75" customHeight="1" x14ac:dyDescent="0.3">
      <c r="B53" s="218" t="s">
        <v>460</v>
      </c>
      <c r="C53" s="212" t="s">
        <v>378</v>
      </c>
      <c r="D53" s="212" t="s">
        <v>478</v>
      </c>
      <c r="E53" s="212" t="s">
        <v>5</v>
      </c>
      <c r="F53" s="212" t="s">
        <v>482</v>
      </c>
      <c r="G53" s="212" t="s">
        <v>5</v>
      </c>
      <c r="H53" s="212" t="s">
        <v>483</v>
      </c>
      <c r="I53" s="226" t="s">
        <v>577</v>
      </c>
      <c r="J53" s="226" t="s">
        <v>578</v>
      </c>
      <c r="K53" s="226" t="s">
        <v>583</v>
      </c>
      <c r="L53" s="226" t="s">
        <v>584</v>
      </c>
      <c r="M53" s="212" t="s">
        <v>8</v>
      </c>
      <c r="N53" s="212" t="s">
        <v>7</v>
      </c>
      <c r="O53" s="219">
        <v>97.234200000000001</v>
      </c>
      <c r="P53" s="219">
        <v>24.253067000000001</v>
      </c>
      <c r="Q53" s="220">
        <v>0</v>
      </c>
      <c r="R53" s="292">
        <v>14</v>
      </c>
      <c r="S53" s="292">
        <v>59</v>
      </c>
      <c r="T53" s="222">
        <f>IF(CampList[[#This Row],[HH]]&gt;0,CampList[[#This Row],[Total]]/CampList[[#This Row],[HH]],"NA")</f>
        <v>4.2142857142857144</v>
      </c>
      <c r="U53" s="214" t="s">
        <v>464</v>
      </c>
      <c r="V53" s="214" t="s">
        <v>995</v>
      </c>
      <c r="W53" s="214" t="s">
        <v>507</v>
      </c>
      <c r="X53" s="214" t="s">
        <v>742</v>
      </c>
      <c r="Y53" s="331">
        <v>41183</v>
      </c>
      <c r="Z53" s="223" t="s">
        <v>462</v>
      </c>
      <c r="AA53" s="239" t="s">
        <v>774</v>
      </c>
      <c r="AB53" s="225">
        <v>43235</v>
      </c>
      <c r="AC53" s="218" t="s">
        <v>1719</v>
      </c>
      <c r="AD53" s="214" t="str">
        <f ca="1">IFERROR(OFFSET(DistanceToCamp[Nearest Town],MATCH(CampList[[#This Row],[CP_Pcode]],DistanceToCamp[CP_Pcode],0)-1,0,1,1),"")</f>
        <v>Bhamo Town</v>
      </c>
      <c r="AE53" s="227">
        <f ca="1">IFERROR(OFFSET(DistanceToCamp[distance],MATCH(CampList[[#This Row],[CP_Pcode]],DistanceToCamp[CP_Pcode],0)-1,0,1,1),"")</f>
        <v>0.20824727902294948</v>
      </c>
      <c r="AF53" s="228">
        <f ca="1">IFERROR(INT(CampList[[#This Row],[Distance]]/5)+1,"")</f>
        <v>1</v>
      </c>
    </row>
    <row r="54" spans="2:32" ht="15.75" customHeight="1" x14ac:dyDescent="0.3">
      <c r="B54" s="218" t="s">
        <v>460</v>
      </c>
      <c r="C54" s="212" t="s">
        <v>378</v>
      </c>
      <c r="D54" s="212" t="s">
        <v>478</v>
      </c>
      <c r="E54" s="212" t="s">
        <v>5</v>
      </c>
      <c r="F54" s="212" t="s">
        <v>482</v>
      </c>
      <c r="G54" s="212" t="s">
        <v>5</v>
      </c>
      <c r="H54" s="212" t="s">
        <v>483</v>
      </c>
      <c r="I54" s="226" t="s">
        <v>577</v>
      </c>
      <c r="J54" s="226" t="s">
        <v>578</v>
      </c>
      <c r="K54" s="226" t="s">
        <v>583</v>
      </c>
      <c r="L54" s="226" t="s">
        <v>584</v>
      </c>
      <c r="M54" s="212" t="s">
        <v>14</v>
      </c>
      <c r="N54" s="212" t="s">
        <v>13</v>
      </c>
      <c r="O54" s="219">
        <v>97.236919999999998</v>
      </c>
      <c r="P54" s="219">
        <v>24.24766</v>
      </c>
      <c r="Q54" s="220">
        <v>0</v>
      </c>
      <c r="R54" s="292">
        <v>41</v>
      </c>
      <c r="S54" s="292">
        <v>227</v>
      </c>
      <c r="T54" s="222">
        <f>IF(CampList[[#This Row],[HH]]&gt;0,CampList[[#This Row],[Total]]/CampList[[#This Row],[HH]],"NA")</f>
        <v>5.5365853658536581</v>
      </c>
      <c r="U54" s="214" t="s">
        <v>464</v>
      </c>
      <c r="V54" s="214" t="s">
        <v>995</v>
      </c>
      <c r="W54" s="214" t="s">
        <v>507</v>
      </c>
      <c r="X54" s="214" t="s">
        <v>742</v>
      </c>
      <c r="Y54" s="331">
        <v>40878</v>
      </c>
      <c r="Z54" s="223" t="s">
        <v>424</v>
      </c>
      <c r="AA54" s="239" t="s">
        <v>774</v>
      </c>
      <c r="AB54" s="225">
        <v>43235</v>
      </c>
      <c r="AC54" s="218" t="s">
        <v>1753</v>
      </c>
      <c r="AD54" s="214" t="str">
        <f ca="1">IFERROR(OFFSET(DistanceToCamp[Nearest Town],MATCH(CampList[[#This Row],[CP_Pcode]],DistanceToCamp[CP_Pcode],0)-1,0,1,1),"")</f>
        <v>Bhamo Town</v>
      </c>
      <c r="AE54" s="227">
        <f ca="1">IFERROR(OFFSET(DistanceToCamp[distance],MATCH(CampList[[#This Row],[CP_Pcode]],DistanceToCamp[CP_Pcode],0)-1,0,1,1),"")</f>
        <v>0.84749304721635399</v>
      </c>
      <c r="AF54" s="228">
        <f ca="1">IFERROR(INT(CampList[[#This Row],[Distance]]/5)+1,"")</f>
        <v>1</v>
      </c>
    </row>
    <row r="55" spans="2:32" ht="15.75" customHeight="1" x14ac:dyDescent="0.3">
      <c r="B55" s="218" t="s">
        <v>460</v>
      </c>
      <c r="C55" s="212" t="s">
        <v>378</v>
      </c>
      <c r="D55" s="212" t="s">
        <v>478</v>
      </c>
      <c r="E55" s="212" t="s">
        <v>5</v>
      </c>
      <c r="F55" s="212" t="s">
        <v>482</v>
      </c>
      <c r="G55" s="212" t="s">
        <v>5</v>
      </c>
      <c r="H55" s="212" t="s">
        <v>483</v>
      </c>
      <c r="I55" s="226" t="s">
        <v>585</v>
      </c>
      <c r="J55" s="226" t="s">
        <v>586</v>
      </c>
      <c r="K55" s="212" t="s">
        <v>585</v>
      </c>
      <c r="L55" s="232">
        <v>166851</v>
      </c>
      <c r="M55" s="212" t="s">
        <v>26</v>
      </c>
      <c r="N55" s="212" t="s">
        <v>25</v>
      </c>
      <c r="O55" s="219">
        <v>97.240639999999999</v>
      </c>
      <c r="P55" s="219">
        <v>24.24953</v>
      </c>
      <c r="Q55" s="220">
        <v>0</v>
      </c>
      <c r="R55" s="292">
        <v>14</v>
      </c>
      <c r="S55" s="292">
        <v>77</v>
      </c>
      <c r="T55" s="222">
        <f>IF(CampList[[#This Row],[HH]]&gt;0,CampList[[#This Row],[Total]]/CampList[[#This Row],[HH]],"NA")</f>
        <v>5.5</v>
      </c>
      <c r="U55" s="214" t="s">
        <v>464</v>
      </c>
      <c r="V55" s="214" t="s">
        <v>995</v>
      </c>
      <c r="W55" s="214" t="s">
        <v>507</v>
      </c>
      <c r="X55" s="214" t="s">
        <v>742</v>
      </c>
      <c r="Y55" s="331">
        <v>41122</v>
      </c>
      <c r="Z55" s="223" t="s">
        <v>462</v>
      </c>
      <c r="AA55" s="212" t="s">
        <v>774</v>
      </c>
      <c r="AB55" s="225">
        <v>43235</v>
      </c>
      <c r="AC55" s="226" t="s">
        <v>1796</v>
      </c>
      <c r="AD55" s="214" t="str">
        <f ca="1">IFERROR(OFFSET(DistanceToCamp[Nearest Town],MATCH(CampList[[#This Row],[CP_Pcode]],DistanceToCamp[CP_Pcode],0)-1,0,1,1),"")</f>
        <v>Bhamo Town</v>
      </c>
      <c r="AE55" s="227">
        <f ca="1">IFERROR(OFFSET(DistanceToCamp[distance],MATCH(CampList[[#This Row],[CP_Pcode]],DistanceToCamp[CP_Pcode],0)-1,0,1,1),"")</f>
        <v>0.87147615879849294</v>
      </c>
      <c r="AF55" s="228">
        <f ca="1">IFERROR(INT(CampList[[#This Row],[Distance]]/5)+1,"")</f>
        <v>1</v>
      </c>
    </row>
    <row r="56" spans="2:32" ht="15.75" customHeight="1" x14ac:dyDescent="0.3">
      <c r="B56" s="231" t="s">
        <v>460</v>
      </c>
      <c r="C56" s="213" t="s">
        <v>378</v>
      </c>
      <c r="D56" s="213" t="s">
        <v>478</v>
      </c>
      <c r="E56" s="213" t="s">
        <v>5</v>
      </c>
      <c r="F56" s="213" t="s">
        <v>482</v>
      </c>
      <c r="G56" s="213" t="s">
        <v>5</v>
      </c>
      <c r="H56" s="213" t="s">
        <v>483</v>
      </c>
      <c r="I56" s="213" t="s">
        <v>594</v>
      </c>
      <c r="J56" s="232" t="s">
        <v>595</v>
      </c>
      <c r="K56" s="213" t="s">
        <v>594</v>
      </c>
      <c r="L56" s="213">
        <v>166844</v>
      </c>
      <c r="M56" s="213" t="s">
        <v>20</v>
      </c>
      <c r="N56" s="213" t="s">
        <v>19</v>
      </c>
      <c r="O56" s="221">
        <v>97.315860000000001</v>
      </c>
      <c r="P56" s="221">
        <v>24.32638</v>
      </c>
      <c r="Q56" s="233"/>
      <c r="R56" s="221">
        <v>15</v>
      </c>
      <c r="S56" s="221">
        <v>68</v>
      </c>
      <c r="T56" s="222">
        <f>IF(CampList[[#This Row],[HH]]&gt;0,CampList[[#This Row],[Total]]/CampList[[#This Row],[HH]],"NA")</f>
        <v>4.5333333333333332</v>
      </c>
      <c r="U56" s="197" t="s">
        <v>464</v>
      </c>
      <c r="V56" s="214" t="s">
        <v>995</v>
      </c>
      <c r="W56" s="197" t="s">
        <v>507</v>
      </c>
      <c r="X56" s="197" t="s">
        <v>742</v>
      </c>
      <c r="Y56" s="332">
        <v>40848</v>
      </c>
      <c r="Z56" s="233" t="s">
        <v>935</v>
      </c>
      <c r="AA56" s="213" t="s">
        <v>774</v>
      </c>
      <c r="AB56" s="225">
        <v>43230</v>
      </c>
      <c r="AC56" s="235" t="s">
        <v>1686</v>
      </c>
      <c r="AD56" s="236" t="str">
        <f ca="1">IFERROR(OFFSET(DistanceToCamp[Nearest Town],MATCH(CampList[[#This Row],[CP_Pcode]],DistanceToCamp[CP_Pcode],0)-1,0,1,1),"")</f>
        <v>Momauk Town</v>
      </c>
      <c r="AE56" s="227">
        <f ca="1">IFERROR(OFFSET(DistanceToCamp[distance],MATCH(CampList[[#This Row],[CP_Pcode]],DistanceToCamp[CP_Pcode],0)-1,0,1,1),"")</f>
        <v>8.3788619521763046</v>
      </c>
      <c r="AF56" s="237">
        <f ca="1">IFERROR(INT(CampList[[#This Row],[Distance]]/5)+1,"")</f>
        <v>2</v>
      </c>
    </row>
    <row r="57" spans="2:32" ht="15.75" customHeight="1" x14ac:dyDescent="0.3">
      <c r="B57" s="218" t="s">
        <v>460</v>
      </c>
      <c r="C57" s="212" t="s">
        <v>378</v>
      </c>
      <c r="D57" s="212" t="s">
        <v>478</v>
      </c>
      <c r="E57" s="212" t="s">
        <v>5</v>
      </c>
      <c r="F57" s="212" t="s">
        <v>482</v>
      </c>
      <c r="G57" s="212" t="s">
        <v>5</v>
      </c>
      <c r="H57" s="212" t="s">
        <v>483</v>
      </c>
      <c r="I57" s="212" t="s">
        <v>577</v>
      </c>
      <c r="J57" s="212" t="s">
        <v>578</v>
      </c>
      <c r="K57" s="212" t="s">
        <v>579</v>
      </c>
      <c r="L57" s="212" t="s">
        <v>580</v>
      </c>
      <c r="M57" s="212" t="s">
        <v>24</v>
      </c>
      <c r="N57" s="212" t="s">
        <v>23</v>
      </c>
      <c r="O57" s="219">
        <v>97.227789999999999</v>
      </c>
      <c r="P57" s="219">
        <v>24.29138</v>
      </c>
      <c r="Q57" s="220">
        <v>0</v>
      </c>
      <c r="R57" s="292">
        <v>20</v>
      </c>
      <c r="S57" s="292">
        <v>95</v>
      </c>
      <c r="T57" s="222">
        <f>IF(CampList[[#This Row],[HH]]&gt;0,CampList[[#This Row],[Total]]/CampList[[#This Row],[HH]],"NA")</f>
        <v>4.75</v>
      </c>
      <c r="U57" s="214" t="s">
        <v>464</v>
      </c>
      <c r="V57" s="214" t="s">
        <v>995</v>
      </c>
      <c r="W57" s="214" t="s">
        <v>507</v>
      </c>
      <c r="X57" s="214" t="s">
        <v>742</v>
      </c>
      <c r="Y57" s="331">
        <v>41030</v>
      </c>
      <c r="Z57" s="223" t="s">
        <v>462</v>
      </c>
      <c r="AA57" s="212" t="s">
        <v>774</v>
      </c>
      <c r="AB57" s="225">
        <v>43235</v>
      </c>
      <c r="AC57" s="226" t="s">
        <v>1724</v>
      </c>
      <c r="AD57" s="214" t="str">
        <f ca="1">IFERROR(OFFSET(DistanceToCamp[Nearest Town],MATCH(CampList[[#This Row],[CP_Pcode]],DistanceToCamp[CP_Pcode],0)-1,0,1,1),"")</f>
        <v>Bhamo Town</v>
      </c>
      <c r="AE57" s="227">
        <f ca="1">IFERROR(OFFSET(DistanceToCamp[distance],MATCH(CampList[[#This Row],[CP_Pcode]],DistanceToCamp[CP_Pcode],0)-1,0,1,1),"")</f>
        <v>4.108228790802368</v>
      </c>
      <c r="AF57" s="228">
        <f ca="1">IFERROR(INT(CampList[[#This Row],[Distance]]/5)+1,"")</f>
        <v>1</v>
      </c>
    </row>
    <row r="58" spans="2:32" ht="15.75" customHeight="1" x14ac:dyDescent="0.3">
      <c r="B58" s="218" t="s">
        <v>460</v>
      </c>
      <c r="C58" s="212" t="s">
        <v>378</v>
      </c>
      <c r="D58" s="212" t="s">
        <v>478</v>
      </c>
      <c r="E58" s="212" t="s">
        <v>5</v>
      </c>
      <c r="F58" s="212" t="s">
        <v>482</v>
      </c>
      <c r="G58" s="212" t="s">
        <v>185</v>
      </c>
      <c r="H58" s="212" t="s">
        <v>486</v>
      </c>
      <c r="I58" s="226" t="s">
        <v>602</v>
      </c>
      <c r="J58" s="226" t="s">
        <v>603</v>
      </c>
      <c r="K58" s="226" t="s">
        <v>604</v>
      </c>
      <c r="L58" s="226" t="s">
        <v>605</v>
      </c>
      <c r="M58" s="212" t="s">
        <v>209</v>
      </c>
      <c r="N58" s="212" t="s">
        <v>208</v>
      </c>
      <c r="O58" s="219">
        <v>97.344359999999995</v>
      </c>
      <c r="P58" s="219">
        <v>24.250689999999999</v>
      </c>
      <c r="Q58" s="220">
        <v>0</v>
      </c>
      <c r="R58" s="292">
        <v>415</v>
      </c>
      <c r="S58" s="292">
        <v>1898</v>
      </c>
      <c r="T58" s="222">
        <f>IF(CampList[[#This Row],[HH]]&gt;0,CampList[[#This Row],[Total]]/CampList[[#This Row],[HH]],"NA")</f>
        <v>4.5734939759036148</v>
      </c>
      <c r="U58" s="214" t="s">
        <v>464</v>
      </c>
      <c r="V58" s="214" t="s">
        <v>995</v>
      </c>
      <c r="W58" s="214" t="s">
        <v>507</v>
      </c>
      <c r="X58" s="214" t="s">
        <v>742</v>
      </c>
      <c r="Y58" s="331">
        <v>40695</v>
      </c>
      <c r="Z58" s="223" t="s">
        <v>424</v>
      </c>
      <c r="AA58" s="239" t="s">
        <v>774</v>
      </c>
      <c r="AB58" s="225">
        <v>43235</v>
      </c>
      <c r="AC58" s="218" t="s">
        <v>1754</v>
      </c>
      <c r="AD58" s="214" t="str">
        <f ca="1">IFERROR(OFFSET(DistanceToCamp[Nearest Town],MATCH(CampList[[#This Row],[CP_Pcode]],DistanceToCamp[CP_Pcode],0)-1,0,1,1),"")</f>
        <v>Momauk Town</v>
      </c>
      <c r="AE58" s="227">
        <f ca="1">IFERROR(OFFSET(DistanceToCamp[distance],MATCH(CampList[[#This Row],[CP_Pcode]],DistanceToCamp[CP_Pcode],0)-1,0,1,1),"")</f>
        <v>0.62513510418653162</v>
      </c>
      <c r="AF58" s="228">
        <f ca="1">IFERROR(INT(CampList[[#This Row],[Distance]]/5)+1,"")</f>
        <v>1</v>
      </c>
    </row>
    <row r="59" spans="2:32" ht="15.75" hidden="1" customHeight="1" x14ac:dyDescent="0.3">
      <c r="B59" s="218" t="s">
        <v>775</v>
      </c>
      <c r="C59" s="212" t="s">
        <v>506</v>
      </c>
      <c r="D59" s="212" t="s">
        <v>489</v>
      </c>
      <c r="E59" s="212" t="s">
        <v>230</v>
      </c>
      <c r="F59" s="212" t="s">
        <v>490</v>
      </c>
      <c r="G59" s="212" t="s">
        <v>288</v>
      </c>
      <c r="H59" s="212" t="s">
        <v>502</v>
      </c>
      <c r="I59" s="212" t="s">
        <v>691</v>
      </c>
      <c r="J59" s="212" t="s">
        <v>692</v>
      </c>
      <c r="K59" s="212" t="s">
        <v>691</v>
      </c>
      <c r="L59" s="212">
        <v>208353</v>
      </c>
      <c r="M59" s="212" t="s">
        <v>293</v>
      </c>
      <c r="N59" s="212" t="s">
        <v>292</v>
      </c>
      <c r="O59" s="219"/>
      <c r="P59" s="219"/>
      <c r="Q59" s="233"/>
      <c r="R59" s="302"/>
      <c r="S59" s="303"/>
      <c r="T59" s="222" t="str">
        <f>IF(CampList[[#This Row],[HH]]&gt;0,CampList[[#This Row],[Total]]/CampList[[#This Row],[HH]],"NA")</f>
        <v>NA</v>
      </c>
      <c r="U59" s="214" t="s">
        <v>466</v>
      </c>
      <c r="V59" s="214" t="s">
        <v>995</v>
      </c>
      <c r="W59" s="214" t="s">
        <v>507</v>
      </c>
      <c r="X59" s="214"/>
      <c r="Y59" s="234"/>
      <c r="Z59" s="224"/>
      <c r="AA59" s="239" t="s">
        <v>774</v>
      </c>
      <c r="AB59" s="225">
        <v>41701</v>
      </c>
      <c r="AC59" s="218" t="s">
        <v>870</v>
      </c>
      <c r="AD59" s="214" t="str">
        <f ca="1">IFERROR(OFFSET(DistanceToCamp[Nearest Town],MATCH(CampList[[#This Row],[CP_Pcode]],DistanceToCamp[CP_Pcode],0)-1,0,1,1),"")</f>
        <v/>
      </c>
      <c r="AE59" s="227" t="str">
        <f ca="1">IFERROR(OFFSET(DistanceToCamp[distance],MATCH(CampList[[#This Row],[CP_Pcode]],DistanceToCamp[CP_Pcode],0)-1,0,1,1),"")</f>
        <v/>
      </c>
      <c r="AF59" s="228" t="str">
        <f ca="1">IFERROR(INT(CampList[[#This Row],[Distance]]/5)+1,"")</f>
        <v/>
      </c>
    </row>
    <row r="60" spans="2:32" ht="15.75" hidden="1" customHeight="1" x14ac:dyDescent="0.3">
      <c r="B60" s="218" t="s">
        <v>775</v>
      </c>
      <c r="C60" s="212" t="s">
        <v>378</v>
      </c>
      <c r="D60" s="212" t="s">
        <v>478</v>
      </c>
      <c r="E60" s="212" t="s">
        <v>5</v>
      </c>
      <c r="F60" s="212" t="s">
        <v>482</v>
      </c>
      <c r="G60" s="212" t="s">
        <v>185</v>
      </c>
      <c r="H60" s="212" t="s">
        <v>486</v>
      </c>
      <c r="I60" s="226" t="s">
        <v>602</v>
      </c>
      <c r="J60" s="226" t="s">
        <v>603</v>
      </c>
      <c r="K60" s="226" t="s">
        <v>607</v>
      </c>
      <c r="L60" s="226" t="s">
        <v>608</v>
      </c>
      <c r="M60" s="212" t="s">
        <v>211</v>
      </c>
      <c r="N60" s="212" t="s">
        <v>210</v>
      </c>
      <c r="O60" s="219">
        <v>97.346950000000007</v>
      </c>
      <c r="P60" s="219">
        <v>24.25177</v>
      </c>
      <c r="Q60" s="220">
        <v>0</v>
      </c>
      <c r="R60" s="302"/>
      <c r="S60" s="303"/>
      <c r="T60" s="222" t="str">
        <f>IF(CampList[[#This Row],[HH]]&gt;0,CampList[[#This Row],[Total]]/CampList[[#This Row],[HH]],"NA")</f>
        <v>NA</v>
      </c>
      <c r="U60" s="214" t="s">
        <v>464</v>
      </c>
      <c r="V60" s="214" t="s">
        <v>995</v>
      </c>
      <c r="W60" s="214" t="s">
        <v>507</v>
      </c>
      <c r="X60" s="214" t="s">
        <v>742</v>
      </c>
      <c r="Y60" s="223">
        <v>40756</v>
      </c>
      <c r="Z60" s="223" t="s">
        <v>935</v>
      </c>
      <c r="AA60" s="239" t="s">
        <v>774</v>
      </c>
      <c r="AB60" s="225">
        <v>41971</v>
      </c>
      <c r="AC60" s="218" t="s">
        <v>955</v>
      </c>
      <c r="AD60" s="214" t="str">
        <f ca="1">IFERROR(OFFSET(DistanceToCamp[Nearest Town],MATCH(CampList[[#This Row],[CP_Pcode]],DistanceToCamp[CP_Pcode],0)-1,0,1,1),"")</f>
        <v/>
      </c>
      <c r="AE60" s="227" t="str">
        <f ca="1">IFERROR(OFFSET(DistanceToCamp[distance],MATCH(CampList[[#This Row],[CP_Pcode]],DistanceToCamp[CP_Pcode],0)-1,0,1,1),"")</f>
        <v/>
      </c>
      <c r="AF60" s="228" t="str">
        <f ca="1">IFERROR(INT(CampList[[#This Row],[Distance]]/5)+1,"")</f>
        <v/>
      </c>
    </row>
    <row r="61" spans="2:32" ht="15.75" customHeight="1" x14ac:dyDescent="0.3">
      <c r="B61" s="231" t="s">
        <v>460</v>
      </c>
      <c r="C61" s="213" t="s">
        <v>506</v>
      </c>
      <c r="D61" s="213" t="s">
        <v>489</v>
      </c>
      <c r="E61" s="213" t="s">
        <v>230</v>
      </c>
      <c r="F61" s="213" t="s">
        <v>490</v>
      </c>
      <c r="G61" s="213" t="s">
        <v>288</v>
      </c>
      <c r="H61" s="213" t="s">
        <v>502</v>
      </c>
      <c r="I61" s="213" t="s">
        <v>691</v>
      </c>
      <c r="J61" s="232" t="s">
        <v>692</v>
      </c>
      <c r="K61" s="213" t="s">
        <v>691</v>
      </c>
      <c r="L61" s="213">
        <v>208353</v>
      </c>
      <c r="M61" s="213" t="s">
        <v>372</v>
      </c>
      <c r="N61" s="213" t="s">
        <v>294</v>
      </c>
      <c r="O61" s="221">
        <v>97.670360000000002</v>
      </c>
      <c r="P61" s="221">
        <v>23.828150000000001</v>
      </c>
      <c r="Q61" s="233">
        <v>751.8</v>
      </c>
      <c r="R61" s="221">
        <v>44</v>
      </c>
      <c r="S61" s="233">
        <v>223</v>
      </c>
      <c r="T61" s="222">
        <f>IF(CampList[[#This Row],[HH]]&gt;0,CampList[[#This Row],[Total]]/CampList[[#This Row],[HH]],"NA")</f>
        <v>5.0681818181818183</v>
      </c>
      <c r="U61" s="197" t="s">
        <v>464</v>
      </c>
      <c r="V61" s="214" t="s">
        <v>995</v>
      </c>
      <c r="W61" s="197" t="s">
        <v>507</v>
      </c>
      <c r="X61" s="197" t="s">
        <v>742</v>
      </c>
      <c r="Y61" s="234">
        <v>40878</v>
      </c>
      <c r="Z61" s="233" t="s">
        <v>1048</v>
      </c>
      <c r="AA61" s="213" t="s">
        <v>774</v>
      </c>
      <c r="AB61" s="557">
        <v>43230</v>
      </c>
      <c r="AC61" s="235" t="s">
        <v>1726</v>
      </c>
      <c r="AD61" s="236" t="str">
        <f ca="1">IFERROR(OFFSET(DistanceToCamp[Nearest Town],MATCH(CampList[[#This Row],[CP_Pcode]],DistanceToCamp[CP_Pcode],0)-1,0,1,1),"")</f>
        <v>Namhkan Town</v>
      </c>
      <c r="AE61" s="227">
        <f ca="1">IFERROR(OFFSET(DistanceToCamp[distance],MATCH(CampList[[#This Row],[CP_Pcode]],DistanceToCamp[CP_Pcode],0)-1,0,1,1),"")</f>
        <v>1.5239325151406049</v>
      </c>
      <c r="AF61" s="237">
        <f ca="1">IFERROR(INT(CampList[[#This Row],[Distance]]/5)+1,"")</f>
        <v>1</v>
      </c>
    </row>
    <row r="62" spans="2:32" ht="15.75" hidden="1" customHeight="1" x14ac:dyDescent="0.3">
      <c r="B62" s="218" t="s">
        <v>775</v>
      </c>
      <c r="C62" s="212" t="s">
        <v>378</v>
      </c>
      <c r="D62" s="212" t="s">
        <v>478</v>
      </c>
      <c r="E62" s="212" t="s">
        <v>5</v>
      </c>
      <c r="F62" s="212" t="s">
        <v>482</v>
      </c>
      <c r="G62" s="212" t="s">
        <v>185</v>
      </c>
      <c r="H62" s="212" t="s">
        <v>486</v>
      </c>
      <c r="I62" s="226" t="s">
        <v>602</v>
      </c>
      <c r="J62" s="226" t="s">
        <v>603</v>
      </c>
      <c r="K62" s="226" t="s">
        <v>604</v>
      </c>
      <c r="L62" s="226" t="s">
        <v>605</v>
      </c>
      <c r="M62" s="212" t="s">
        <v>207</v>
      </c>
      <c r="N62" s="212" t="s">
        <v>206</v>
      </c>
      <c r="O62" s="219">
        <v>97.346940000000004</v>
      </c>
      <c r="P62" s="219">
        <v>24.251860000000001</v>
      </c>
      <c r="Q62" s="220">
        <v>0</v>
      </c>
      <c r="R62" s="302"/>
      <c r="S62" s="303"/>
      <c r="T62" s="222" t="str">
        <f>IF(CampList[[#This Row],[HH]]&gt;0,CampList[[#This Row],[Total]]/CampList[[#This Row],[HH]],"NA")</f>
        <v>NA</v>
      </c>
      <c r="U62" s="214" t="s">
        <v>464</v>
      </c>
      <c r="V62" s="214" t="s">
        <v>995</v>
      </c>
      <c r="W62" s="214" t="s">
        <v>507</v>
      </c>
      <c r="X62" s="214" t="s">
        <v>742</v>
      </c>
      <c r="Y62" s="223">
        <v>40817</v>
      </c>
      <c r="Z62" s="223"/>
      <c r="AA62" s="239" t="s">
        <v>774</v>
      </c>
      <c r="AB62" s="225">
        <v>42317</v>
      </c>
      <c r="AC62" s="218" t="s">
        <v>1078</v>
      </c>
      <c r="AD62" s="214"/>
      <c r="AE62" s="227"/>
      <c r="AF62" s="228"/>
    </row>
    <row r="63" spans="2:32" ht="15.75" hidden="1" customHeight="1" x14ac:dyDescent="0.3">
      <c r="B63" s="218" t="s">
        <v>775</v>
      </c>
      <c r="C63" s="212" t="s">
        <v>378</v>
      </c>
      <c r="D63" s="212" t="s">
        <v>478</v>
      </c>
      <c r="E63" s="212" t="s">
        <v>5</v>
      </c>
      <c r="F63" s="212" t="s">
        <v>482</v>
      </c>
      <c r="G63" s="212" t="s">
        <v>185</v>
      </c>
      <c r="H63" s="212" t="s">
        <v>486</v>
      </c>
      <c r="I63" s="212" t="s">
        <v>602</v>
      </c>
      <c r="J63" s="212" t="s">
        <v>603</v>
      </c>
      <c r="K63" s="212" t="s">
        <v>604</v>
      </c>
      <c r="L63" s="212" t="s">
        <v>605</v>
      </c>
      <c r="M63" s="212" t="s">
        <v>217</v>
      </c>
      <c r="N63" s="212" t="s">
        <v>216</v>
      </c>
      <c r="O63" s="219">
        <v>97.347740000000002</v>
      </c>
      <c r="P63" s="219">
        <v>24.253769999999999</v>
      </c>
      <c r="Q63" s="220">
        <v>0</v>
      </c>
      <c r="R63" s="236"/>
      <c r="S63" s="241"/>
      <c r="T63" s="222" t="str">
        <f>IF(CampList[[#This Row],[HH]]&gt;0,CampList[[#This Row],[Total]]/CampList[[#This Row],[HH]],"NA")</f>
        <v>NA</v>
      </c>
      <c r="U63" s="214" t="s">
        <v>464</v>
      </c>
      <c r="V63" s="214" t="s">
        <v>995</v>
      </c>
      <c r="W63" s="214" t="s">
        <v>507</v>
      </c>
      <c r="X63" s="214" t="s">
        <v>742</v>
      </c>
      <c r="Y63" s="223">
        <v>40817</v>
      </c>
      <c r="Z63" s="223" t="s">
        <v>462</v>
      </c>
      <c r="AA63" s="212" t="s">
        <v>774</v>
      </c>
      <c r="AB63" s="225">
        <v>42537</v>
      </c>
      <c r="AC63" s="226" t="s">
        <v>1116</v>
      </c>
      <c r="AD63" s="214" t="str">
        <f ca="1">IFERROR(OFFSET(DistanceToCamp[Nearest Town],MATCH(CampList[[#This Row],[CP_Pcode]],DistanceToCamp[CP_Pcode],0)-1,0,1,1),"")</f>
        <v>Momauk Town</v>
      </c>
      <c r="AE63" s="227">
        <f ca="1">IFERROR(OFFSET(DistanceToCamp[distance],MATCH(CampList[[#This Row],[CP_Pcode]],DistanceToCamp[CP_Pcode],0)-1,0,1,1),"")</f>
        <v>0.32830807173487342</v>
      </c>
      <c r="AF63" s="228">
        <f ca="1">IFERROR(INT(CampList[[#This Row],[Distance]]/5)+1,"")</f>
        <v>1</v>
      </c>
    </row>
    <row r="64" spans="2:32" ht="15.75" hidden="1" customHeight="1" x14ac:dyDescent="0.3">
      <c r="B64" s="218" t="s">
        <v>775</v>
      </c>
      <c r="C64" s="212" t="s">
        <v>378</v>
      </c>
      <c r="D64" s="212" t="s">
        <v>478</v>
      </c>
      <c r="E64" s="212" t="s">
        <v>5</v>
      </c>
      <c r="F64" s="212" t="s">
        <v>482</v>
      </c>
      <c r="G64" s="212" t="s">
        <v>185</v>
      </c>
      <c r="H64" s="212" t="s">
        <v>486</v>
      </c>
      <c r="I64" s="212" t="s">
        <v>736</v>
      </c>
      <c r="J64" s="212" t="s">
        <v>737</v>
      </c>
      <c r="K64" s="212" t="s">
        <v>736</v>
      </c>
      <c r="L64" s="212">
        <v>167086</v>
      </c>
      <c r="M64" s="212" t="s">
        <v>227</v>
      </c>
      <c r="N64" s="212" t="s">
        <v>226</v>
      </c>
      <c r="O64" s="219">
        <v>97.416826999999998</v>
      </c>
      <c r="P64" s="219">
        <v>24.492493</v>
      </c>
      <c r="Q64" s="220"/>
      <c r="R64" s="220"/>
      <c r="S64" s="233"/>
      <c r="T64" s="222" t="str">
        <f>IF(CampList[[#This Row],[HH]]&gt;0,CampList[[#This Row],[Total]]/CampList[[#This Row],[HH]],"NA")</f>
        <v>NA</v>
      </c>
      <c r="U64" s="214" t="s">
        <v>464</v>
      </c>
      <c r="V64" s="214" t="s">
        <v>995</v>
      </c>
      <c r="W64" s="214" t="s">
        <v>12</v>
      </c>
      <c r="X64" s="214" t="s">
        <v>784</v>
      </c>
      <c r="Y64" s="331"/>
      <c r="Z64" s="223"/>
      <c r="AA64" s="239" t="s">
        <v>773</v>
      </c>
      <c r="AB64" s="225">
        <v>42927</v>
      </c>
      <c r="AC64" s="226" t="s">
        <v>1284</v>
      </c>
      <c r="AD64" s="214" t="str">
        <f ca="1">IFERROR(OFFSET(DistanceToCamp[Nearest Town],MATCH(CampList[[#This Row],[CP_Pcode]],DistanceToCamp[CP_Pcode],0)-1,0,1,1),"")</f>
        <v>Dawthponeyan  Town</v>
      </c>
      <c r="AE64" s="227">
        <f ca="1">IFERROR(OFFSET(DistanceToCamp[distance],MATCH(CampList[[#This Row],[CP_Pcode]],DistanceToCamp[CP_Pcode],0)-1,0,1,1),"")</f>
        <v>14.236592976936194</v>
      </c>
      <c r="AF64" s="228">
        <f ca="1">IFERROR(INT(CampList[[#This Row],[Distance]]/5)+1,"")</f>
        <v>3</v>
      </c>
    </row>
    <row r="65" spans="2:32" ht="15.75" customHeight="1" x14ac:dyDescent="0.3">
      <c r="B65" s="218" t="s">
        <v>460</v>
      </c>
      <c r="C65" s="212" t="s">
        <v>378</v>
      </c>
      <c r="D65" s="212" t="s">
        <v>478</v>
      </c>
      <c r="E65" s="212" t="s">
        <v>5</v>
      </c>
      <c r="F65" s="212" t="s">
        <v>482</v>
      </c>
      <c r="G65" s="212" t="s">
        <v>185</v>
      </c>
      <c r="H65" s="212" t="s">
        <v>486</v>
      </c>
      <c r="I65" s="226" t="s">
        <v>738</v>
      </c>
      <c r="J65" s="226" t="s">
        <v>739</v>
      </c>
      <c r="K65" s="226" t="s">
        <v>738</v>
      </c>
      <c r="L65" s="226">
        <v>167048</v>
      </c>
      <c r="M65" s="212" t="s">
        <v>213</v>
      </c>
      <c r="N65" s="212" t="s">
        <v>212</v>
      </c>
      <c r="O65" s="219">
        <v>97.407787999999996</v>
      </c>
      <c r="P65" s="219">
        <v>24.404876999999999</v>
      </c>
      <c r="Q65" s="233"/>
      <c r="R65" s="329">
        <v>47</v>
      </c>
      <c r="S65" s="330">
        <v>153</v>
      </c>
      <c r="T65" s="222">
        <f>IF(CampList[[#This Row],[HH]]&gt;0,CampList[[#This Row],[Total]]/CampList[[#This Row],[HH]],"NA")</f>
        <v>3.2553191489361701</v>
      </c>
      <c r="U65" s="214" t="s">
        <v>464</v>
      </c>
      <c r="V65" s="214" t="s">
        <v>995</v>
      </c>
      <c r="W65" s="244" t="s">
        <v>12</v>
      </c>
      <c r="X65" s="214" t="s">
        <v>784</v>
      </c>
      <c r="Y65" s="332"/>
      <c r="Z65" s="224" t="s">
        <v>1322</v>
      </c>
      <c r="AA65" s="239" t="s">
        <v>773</v>
      </c>
      <c r="AB65" s="247">
        <v>43090</v>
      </c>
      <c r="AC65" s="218" t="s">
        <v>1570</v>
      </c>
      <c r="AD65" s="214" t="str">
        <f ca="1">IFERROR(OFFSET(DistanceToCamp[Nearest Town],MATCH(CampList[[#This Row],[CP_Pcode]],DistanceToCamp[CP_Pcode],0)-1,0,1,1),"")</f>
        <v>Momauk Town</v>
      </c>
      <c r="AE65" s="227">
        <f ca="1">IFERROR(OFFSET(DistanceToCamp[distance],MATCH(CampList[[#This Row],[CP_Pcode]],DistanceToCamp[CP_Pcode],0)-1,0,1,1),"")</f>
        <v>17.689123339899055</v>
      </c>
      <c r="AF65" s="228">
        <f ca="1">IFERROR(INT(CampList[[#This Row],[Distance]]/5)+1,"")</f>
        <v>4</v>
      </c>
    </row>
    <row r="66" spans="2:32" ht="15.75" customHeight="1" x14ac:dyDescent="0.3">
      <c r="B66" s="231" t="s">
        <v>460</v>
      </c>
      <c r="C66" s="213" t="s">
        <v>378</v>
      </c>
      <c r="D66" s="213" t="s">
        <v>478</v>
      </c>
      <c r="E66" s="213" t="s">
        <v>5</v>
      </c>
      <c r="F66" s="213" t="s">
        <v>482</v>
      </c>
      <c r="G66" s="213" t="s">
        <v>185</v>
      </c>
      <c r="H66" s="213" t="s">
        <v>486</v>
      </c>
      <c r="I66" s="213" t="s">
        <v>598</v>
      </c>
      <c r="J66" s="232" t="s">
        <v>599</v>
      </c>
      <c r="K66" s="213" t="s">
        <v>598</v>
      </c>
      <c r="L66" s="213">
        <v>167009</v>
      </c>
      <c r="M66" s="213" t="s">
        <v>202</v>
      </c>
      <c r="N66" s="213" t="s">
        <v>201</v>
      </c>
      <c r="O66" s="221">
        <v>97.325019999999995</v>
      </c>
      <c r="P66" s="221">
        <v>24.245100000000001</v>
      </c>
      <c r="Q66" s="233"/>
      <c r="R66" s="221">
        <v>281</v>
      </c>
      <c r="S66" s="221">
        <v>1256</v>
      </c>
      <c r="T66" s="222">
        <f>IF(CampList[[#This Row],[HH]]&gt;0,CampList[[#This Row],[Total]]/CampList[[#This Row],[HH]],"NA")</f>
        <v>4.4697508896797151</v>
      </c>
      <c r="U66" s="197" t="s">
        <v>464</v>
      </c>
      <c r="V66" s="214" t="s">
        <v>995</v>
      </c>
      <c r="W66" s="197" t="s">
        <v>507</v>
      </c>
      <c r="X66" s="197" t="s">
        <v>742</v>
      </c>
      <c r="Y66" s="332">
        <v>41030</v>
      </c>
      <c r="Z66" s="233" t="s">
        <v>935</v>
      </c>
      <c r="AA66" s="213" t="s">
        <v>774</v>
      </c>
      <c r="AB66" s="225">
        <v>43230</v>
      </c>
      <c r="AC66" s="235" t="s">
        <v>1683</v>
      </c>
      <c r="AD66" s="236" t="str">
        <f ca="1">IFERROR(OFFSET(DistanceToCamp[Nearest Town],MATCH(CampList[[#This Row],[CP_Pcode]],DistanceToCamp[CP_Pcode],0)-1,0,1,1),"")</f>
        <v>Momauk Town</v>
      </c>
      <c r="AE66" s="227">
        <f ca="1">IFERROR(OFFSET(DistanceToCamp[distance],MATCH(CampList[[#This Row],[CP_Pcode]],DistanceToCamp[CP_Pcode],0)-1,0,1,1),"")</f>
        <v>2.4411071835305544</v>
      </c>
      <c r="AF66" s="237">
        <f ca="1">IFERROR(INT(CampList[[#This Row],[Distance]]/5)+1,"")</f>
        <v>1</v>
      </c>
    </row>
    <row r="67" spans="2:32" ht="15.75" hidden="1" customHeight="1" x14ac:dyDescent="0.3">
      <c r="B67" s="218" t="s">
        <v>775</v>
      </c>
      <c r="C67" s="212" t="s">
        <v>378</v>
      </c>
      <c r="D67" s="212" t="s">
        <v>478</v>
      </c>
      <c r="E67" s="212" t="s">
        <v>5</v>
      </c>
      <c r="F67" s="212" t="s">
        <v>482</v>
      </c>
      <c r="G67" s="212" t="s">
        <v>185</v>
      </c>
      <c r="H67" s="212" t="s">
        <v>486</v>
      </c>
      <c r="I67" s="226" t="s">
        <v>596</v>
      </c>
      <c r="J67" s="226" t="s">
        <v>597</v>
      </c>
      <c r="K67" s="226" t="s">
        <v>596</v>
      </c>
      <c r="L67" s="226">
        <v>167063</v>
      </c>
      <c r="M67" s="212" t="s">
        <v>204</v>
      </c>
      <c r="N67" s="212" t="s">
        <v>203</v>
      </c>
      <c r="O67" s="219">
        <v>97.321659999999994</v>
      </c>
      <c r="P67" s="219">
        <v>24.410008999999999</v>
      </c>
      <c r="Q67" s="233"/>
      <c r="R67" s="329"/>
      <c r="S67" s="330"/>
      <c r="T67" s="222" t="str">
        <f>IF(CampList[[#This Row],[HH]]&gt;0,CampList[[#This Row],[Total]]/CampList[[#This Row],[HH]],"NA")</f>
        <v>NA</v>
      </c>
      <c r="U67" s="214" t="s">
        <v>464</v>
      </c>
      <c r="V67" s="214" t="s">
        <v>995</v>
      </c>
      <c r="W67" s="244" t="s">
        <v>12</v>
      </c>
      <c r="X67" s="214" t="s">
        <v>784</v>
      </c>
      <c r="Y67" s="332"/>
      <c r="Z67" s="224"/>
      <c r="AA67" s="239" t="s">
        <v>773</v>
      </c>
      <c r="AB67" s="225">
        <v>42927</v>
      </c>
      <c r="AC67" s="218" t="s">
        <v>1285</v>
      </c>
      <c r="AD67" s="214" t="str">
        <f ca="1">IFERROR(OFFSET(DistanceToCamp[Nearest Town],MATCH(CampList[[#This Row],[CP_Pcode]],DistanceToCamp[CP_Pcode],0)-1,0,1,1),"")</f>
        <v>Momauk Town</v>
      </c>
      <c r="AE67" s="227">
        <f ca="1">IFERROR(OFFSET(DistanceToCamp[distance],MATCH(CampList[[#This Row],[CP_Pcode]],DistanceToCamp[CP_Pcode],0)-1,0,1,1),"")</f>
        <v>17.282528446236295</v>
      </c>
      <c r="AF67" s="228">
        <f ca="1">IFERROR(INT(CampList[[#This Row],[Distance]]/5)+1,"")</f>
        <v>4</v>
      </c>
    </row>
    <row r="68" spans="2:32" ht="15.75" hidden="1" customHeight="1" x14ac:dyDescent="0.3">
      <c r="B68" s="218" t="s">
        <v>775</v>
      </c>
      <c r="C68" s="212" t="s">
        <v>378</v>
      </c>
      <c r="D68" s="212" t="s">
        <v>478</v>
      </c>
      <c r="E68" s="212" t="s">
        <v>5</v>
      </c>
      <c r="F68" s="212" t="s">
        <v>482</v>
      </c>
      <c r="G68" s="212" t="s">
        <v>185</v>
      </c>
      <c r="H68" s="212" t="s">
        <v>486</v>
      </c>
      <c r="I68" s="226" t="s">
        <v>1113</v>
      </c>
      <c r="J68" s="226" t="s">
        <v>1114</v>
      </c>
      <c r="K68" s="226" t="s">
        <v>1113</v>
      </c>
      <c r="L68" s="238">
        <v>167078</v>
      </c>
      <c r="M68" s="212" t="s">
        <v>200</v>
      </c>
      <c r="N68" s="212" t="s">
        <v>199</v>
      </c>
      <c r="O68" s="219">
        <v>97.409474000000003</v>
      </c>
      <c r="P68" s="219">
        <v>24.441697000000001</v>
      </c>
      <c r="Q68" s="233"/>
      <c r="R68" s="292"/>
      <c r="S68" s="292"/>
      <c r="T68" s="222" t="str">
        <f>IF(CampList[[#This Row],[HH]]&gt;0,CampList[[#This Row],[Total]]/CampList[[#This Row],[HH]],"NA")</f>
        <v>NA</v>
      </c>
      <c r="U68" s="214" t="s">
        <v>464</v>
      </c>
      <c r="V68" s="214" t="s">
        <v>995</v>
      </c>
      <c r="W68" s="244" t="s">
        <v>12</v>
      </c>
      <c r="X68" s="214" t="s">
        <v>784</v>
      </c>
      <c r="Y68" s="332"/>
      <c r="Z68" s="224"/>
      <c r="AA68" s="239" t="s">
        <v>773</v>
      </c>
      <c r="AB68" s="225">
        <v>42927</v>
      </c>
      <c r="AC68" s="218" t="s">
        <v>1286</v>
      </c>
      <c r="AD68" s="214" t="str">
        <f ca="1">IFERROR(OFFSET(DistanceToCamp[Nearest Town],MATCH(CampList[[#This Row],[CP_Pcode]],DistanceToCamp[CP_Pcode],0)-1,0,1,1),"")</f>
        <v>Dawthponeyan  Town</v>
      </c>
      <c r="AE68" s="227">
        <f ca="1">IFERROR(OFFSET(DistanceToCamp[distance],MATCH(CampList[[#This Row],[CP_Pcode]],DistanceToCamp[CP_Pcode],0)-1,0,1,1),"")</f>
        <v>19.860265975801305</v>
      </c>
      <c r="AF68" s="228">
        <f ca="1">IFERROR(INT(CampList[[#This Row],[Distance]]/5)+1,"")</f>
        <v>4</v>
      </c>
    </row>
    <row r="69" spans="2:32" ht="15.75" hidden="1" customHeight="1" x14ac:dyDescent="0.3">
      <c r="B69" s="218" t="s">
        <v>775</v>
      </c>
      <c r="C69" s="212" t="s">
        <v>378</v>
      </c>
      <c r="D69" s="212" t="s">
        <v>478</v>
      </c>
      <c r="E69" s="212" t="s">
        <v>5</v>
      </c>
      <c r="F69" s="212" t="s">
        <v>482</v>
      </c>
      <c r="G69" s="212" t="s">
        <v>185</v>
      </c>
      <c r="H69" s="212" t="s">
        <v>486</v>
      </c>
      <c r="I69" s="212" t="s">
        <v>645</v>
      </c>
      <c r="J69" s="212" t="s">
        <v>646</v>
      </c>
      <c r="K69" s="212" t="s">
        <v>647</v>
      </c>
      <c r="L69" s="212">
        <v>167242</v>
      </c>
      <c r="M69" s="212" t="s">
        <v>221</v>
      </c>
      <c r="N69" s="212" t="s">
        <v>220</v>
      </c>
      <c r="O69" s="219">
        <v>97.429860000000005</v>
      </c>
      <c r="P69" s="219">
        <v>24.630859999999998</v>
      </c>
      <c r="Q69" s="220"/>
      <c r="R69" s="220"/>
      <c r="S69" s="233"/>
      <c r="T69" s="222" t="str">
        <f>IF(CampList[[#This Row],[HH]]&gt;0,CampList[[#This Row],[Total]]/CampList[[#This Row],[HH]],"NA")</f>
        <v>NA</v>
      </c>
      <c r="U69" s="214" t="s">
        <v>464</v>
      </c>
      <c r="V69" s="214" t="s">
        <v>995</v>
      </c>
      <c r="W69" s="214" t="s">
        <v>12</v>
      </c>
      <c r="X69" s="214" t="s">
        <v>784</v>
      </c>
      <c r="Y69" s="331"/>
      <c r="Z69" s="223"/>
      <c r="AA69" s="239" t="s">
        <v>773</v>
      </c>
      <c r="AB69" s="225">
        <v>42927</v>
      </c>
      <c r="AC69" s="226" t="s">
        <v>1287</v>
      </c>
      <c r="AD69" s="214" t="str">
        <f ca="1">IFERROR(OFFSET(DistanceToCamp[Nearest Town],MATCH(CampList[[#This Row],[CP_Pcode]],DistanceToCamp[CP_Pcode],0)-1,0,1,1),"")</f>
        <v>Dawthponeyan  Town</v>
      </c>
      <c r="AE69" s="227">
        <f ca="1">IFERROR(OFFSET(DistanceToCamp[distance],MATCH(CampList[[#This Row],[CP_Pcode]],DistanceToCamp[CP_Pcode],0)-1,0,1,1),"")</f>
        <v>3.6887624513681017</v>
      </c>
      <c r="AF69" s="228">
        <f ca="1">IFERROR(INT(CampList[[#This Row],[Distance]]/5)+1,"")</f>
        <v>1</v>
      </c>
    </row>
    <row r="70" spans="2:32" ht="15.75" customHeight="1" x14ac:dyDescent="0.3">
      <c r="B70" s="218" t="s">
        <v>460</v>
      </c>
      <c r="C70" s="212" t="s">
        <v>378</v>
      </c>
      <c r="D70" s="212" t="s">
        <v>478</v>
      </c>
      <c r="E70" s="212" t="s">
        <v>5</v>
      </c>
      <c r="F70" s="212" t="s">
        <v>482</v>
      </c>
      <c r="G70" s="212" t="s">
        <v>151</v>
      </c>
      <c r="H70" s="212" t="s">
        <v>492</v>
      </c>
      <c r="I70" s="226" t="s">
        <v>590</v>
      </c>
      <c r="J70" s="226" t="s">
        <v>591</v>
      </c>
      <c r="K70" s="226" t="s">
        <v>592</v>
      </c>
      <c r="L70" s="226" t="s">
        <v>593</v>
      </c>
      <c r="M70" s="212" t="s">
        <v>152</v>
      </c>
      <c r="N70" s="212" t="s">
        <v>150</v>
      </c>
      <c r="O70" s="219">
        <v>97.291820000000001</v>
      </c>
      <c r="P70" s="219">
        <v>24.129059999999999</v>
      </c>
      <c r="Q70" s="220">
        <v>0</v>
      </c>
      <c r="R70" s="292">
        <v>185</v>
      </c>
      <c r="S70" s="292">
        <v>830</v>
      </c>
      <c r="T70" s="222">
        <f>IF(CampList[[#This Row],[HH]]&gt;0,CampList[[#This Row],[Total]]/CampList[[#This Row],[HH]],"NA")</f>
        <v>4.4864864864864868</v>
      </c>
      <c r="U70" s="214" t="s">
        <v>464</v>
      </c>
      <c r="V70" s="214" t="s">
        <v>995</v>
      </c>
      <c r="W70" s="214" t="s">
        <v>507</v>
      </c>
      <c r="X70" s="214" t="s">
        <v>742</v>
      </c>
      <c r="Y70" s="331">
        <v>41579</v>
      </c>
      <c r="Z70" s="223" t="s">
        <v>424</v>
      </c>
      <c r="AA70" s="239" t="s">
        <v>774</v>
      </c>
      <c r="AB70" s="225">
        <v>43235</v>
      </c>
      <c r="AC70" s="218" t="s">
        <v>1755</v>
      </c>
      <c r="AD70" s="214" t="str">
        <f ca="1">IFERROR(OFFSET(DistanceToCamp[Nearest Town],MATCH(CampList[[#This Row],[CP_Pcode]],DistanceToCamp[CP_Pcode],0)-1,0,1,1),"")</f>
        <v>Mansi Town</v>
      </c>
      <c r="AE70" s="227">
        <f ca="1">IFERROR(OFFSET(DistanceToCamp[distance],MATCH(CampList[[#This Row],[CP_Pcode]],DistanceToCamp[CP_Pcode],0)-1,0,1,1),"")</f>
        <v>1.0576516850656514</v>
      </c>
      <c r="AF70" s="228">
        <f ca="1">IFERROR(INT(CampList[[#This Row],[Distance]]/5)+1,"")</f>
        <v>1</v>
      </c>
    </row>
    <row r="71" spans="2:32" ht="15.75" customHeight="1" x14ac:dyDescent="0.3">
      <c r="B71" s="239" t="s">
        <v>460</v>
      </c>
      <c r="C71" s="212" t="s">
        <v>378</v>
      </c>
      <c r="D71" s="212" t="s">
        <v>478</v>
      </c>
      <c r="E71" s="212" t="s">
        <v>5</v>
      </c>
      <c r="F71" s="212" t="s">
        <v>482</v>
      </c>
      <c r="G71" s="212" t="s">
        <v>301</v>
      </c>
      <c r="H71" s="212" t="s">
        <v>493</v>
      </c>
      <c r="I71" s="212" t="s">
        <v>561</v>
      </c>
      <c r="J71" s="212" t="s">
        <v>562</v>
      </c>
      <c r="K71" s="212" t="s">
        <v>561</v>
      </c>
      <c r="L71" s="212" t="s">
        <v>563</v>
      </c>
      <c r="M71" s="212" t="s">
        <v>305</v>
      </c>
      <c r="N71" s="212" t="s">
        <v>304</v>
      </c>
      <c r="O71" s="219">
        <v>96.807353000000006</v>
      </c>
      <c r="P71" s="219">
        <v>24.200361000000001</v>
      </c>
      <c r="Q71" s="220">
        <v>0</v>
      </c>
      <c r="R71" s="292">
        <v>88</v>
      </c>
      <c r="S71" s="292">
        <v>330</v>
      </c>
      <c r="T71" s="222">
        <f>IF(CampList[[#This Row],[HH]]&gt;0,CampList[[#This Row],[Total]]/CampList[[#This Row],[HH]],"NA")</f>
        <v>3.75</v>
      </c>
      <c r="U71" s="214" t="s">
        <v>464</v>
      </c>
      <c r="V71" s="214" t="s">
        <v>995</v>
      </c>
      <c r="W71" s="214" t="s">
        <v>507</v>
      </c>
      <c r="X71" s="214" t="s">
        <v>742</v>
      </c>
      <c r="Y71" s="331">
        <v>40725</v>
      </c>
      <c r="Z71" s="223" t="s">
        <v>424</v>
      </c>
      <c r="AA71" s="212" t="s">
        <v>774</v>
      </c>
      <c r="AB71" s="225">
        <v>43235</v>
      </c>
      <c r="AC71" s="226" t="s">
        <v>1756</v>
      </c>
      <c r="AD71" s="214" t="str">
        <f ca="1">IFERROR(OFFSET(DistanceToCamp[Nearest Town],MATCH(CampList[[#This Row],[CP_Pcode]],DistanceToCamp[CP_Pcode],0)-1,0,1,1),"")</f>
        <v>Shwegu Town</v>
      </c>
      <c r="AE71" s="227">
        <f ca="1">IFERROR(OFFSET(DistanceToCamp[distance],MATCH(CampList[[#This Row],[CP_Pcode]],DistanceToCamp[CP_Pcode],0)-1,0,1,1),"")</f>
        <v>0.74396039478864395</v>
      </c>
      <c r="AF71" s="228">
        <f ca="1">IFERROR(INT(CampList[[#This Row],[Distance]]/5)+1,"")</f>
        <v>1</v>
      </c>
    </row>
    <row r="72" spans="2:32" ht="15.75" customHeight="1" x14ac:dyDescent="0.3">
      <c r="B72" s="242" t="s">
        <v>460</v>
      </c>
      <c r="C72" s="213" t="s">
        <v>378</v>
      </c>
      <c r="D72" s="213" t="s">
        <v>478</v>
      </c>
      <c r="E72" s="213" t="s">
        <v>5</v>
      </c>
      <c r="F72" s="213" t="s">
        <v>482</v>
      </c>
      <c r="G72" s="213" t="s">
        <v>301</v>
      </c>
      <c r="H72" s="213" t="s">
        <v>493</v>
      </c>
      <c r="I72" s="213" t="s">
        <v>561</v>
      </c>
      <c r="J72" s="232" t="s">
        <v>562</v>
      </c>
      <c r="K72" s="213" t="s">
        <v>561</v>
      </c>
      <c r="L72" s="213" t="s">
        <v>563</v>
      </c>
      <c r="M72" s="213" t="s">
        <v>307</v>
      </c>
      <c r="N72" s="213" t="s">
        <v>306</v>
      </c>
      <c r="O72" s="221">
        <v>96.807353000000006</v>
      </c>
      <c r="P72" s="221">
        <v>24.200367</v>
      </c>
      <c r="Q72" s="233"/>
      <c r="R72" s="221">
        <v>46</v>
      </c>
      <c r="S72" s="221">
        <v>199</v>
      </c>
      <c r="T72" s="222">
        <f>IF(CampList[[#This Row],[HH]]&gt;0,CampList[[#This Row],[Total]]/CampList[[#This Row],[HH]],"NA")</f>
        <v>4.3260869565217392</v>
      </c>
      <c r="U72" s="197" t="s">
        <v>464</v>
      </c>
      <c r="V72" s="214" t="s">
        <v>995</v>
      </c>
      <c r="W72" s="197" t="s">
        <v>507</v>
      </c>
      <c r="X72" s="197" t="s">
        <v>742</v>
      </c>
      <c r="Y72" s="332">
        <v>40725</v>
      </c>
      <c r="Z72" s="233" t="s">
        <v>935</v>
      </c>
      <c r="AA72" s="213" t="s">
        <v>774</v>
      </c>
      <c r="AB72" s="225">
        <v>43230</v>
      </c>
      <c r="AC72" s="235" t="s">
        <v>1689</v>
      </c>
      <c r="AD72" s="236" t="str">
        <f ca="1">IFERROR(OFFSET(DistanceToCamp[Nearest Town],MATCH(CampList[[#This Row],[CP_Pcode]],DistanceToCamp[CP_Pcode],0)-1,0,1,1),"")</f>
        <v>Shwegu Town</v>
      </c>
      <c r="AE72" s="227">
        <f ca="1">IFERROR(OFFSET(DistanceToCamp[distance],MATCH(CampList[[#This Row],[CP_Pcode]],DistanceToCamp[CP_Pcode],0)-1,0,1,1),"")</f>
        <v>0.74330366237812662</v>
      </c>
      <c r="AF72" s="237">
        <f ca="1">IFERROR(INT(CampList[[#This Row],[Distance]]/5)+1,"")</f>
        <v>1</v>
      </c>
    </row>
    <row r="73" spans="2:32" ht="15.75" customHeight="1" x14ac:dyDescent="0.3">
      <c r="B73" s="231" t="s">
        <v>460</v>
      </c>
      <c r="C73" s="213" t="s">
        <v>378</v>
      </c>
      <c r="D73" s="213" t="s">
        <v>478</v>
      </c>
      <c r="E73" s="213" t="s">
        <v>5</v>
      </c>
      <c r="F73" s="213" t="s">
        <v>482</v>
      </c>
      <c r="G73" s="213" t="s">
        <v>185</v>
      </c>
      <c r="H73" s="213" t="s">
        <v>486</v>
      </c>
      <c r="I73" s="213" t="s">
        <v>693</v>
      </c>
      <c r="J73" s="232" t="s">
        <v>694</v>
      </c>
      <c r="K73" s="245" t="s">
        <v>1101</v>
      </c>
      <c r="L73" s="245" t="s">
        <v>1102</v>
      </c>
      <c r="M73" s="213" t="s">
        <v>223</v>
      </c>
      <c r="N73" s="213" t="s">
        <v>222</v>
      </c>
      <c r="O73" s="221">
        <v>97.724566999999993</v>
      </c>
      <c r="P73" s="221">
        <v>24.205417000000001</v>
      </c>
      <c r="Q73" s="233"/>
      <c r="R73" s="221">
        <v>129</v>
      </c>
      <c r="S73" s="221">
        <v>640</v>
      </c>
      <c r="T73" s="222">
        <f>IF(CampList[[#This Row],[HH]]&gt;0,CampList[[#This Row],[Total]]/CampList[[#This Row],[HH]],"NA")</f>
        <v>4.9612403100775193</v>
      </c>
      <c r="U73" s="197" t="s">
        <v>464</v>
      </c>
      <c r="V73" s="214" t="s">
        <v>995</v>
      </c>
      <c r="W73" s="197" t="s">
        <v>507</v>
      </c>
      <c r="X73" s="197" t="s">
        <v>742</v>
      </c>
      <c r="Y73" s="332">
        <v>40848</v>
      </c>
      <c r="Z73" s="233" t="s">
        <v>935</v>
      </c>
      <c r="AA73" s="213" t="s">
        <v>774</v>
      </c>
      <c r="AB73" s="225">
        <v>43230</v>
      </c>
      <c r="AC73" s="235" t="s">
        <v>1681</v>
      </c>
      <c r="AD73" s="236" t="str">
        <f ca="1">IFERROR(OFFSET(DistanceToCamp[Nearest Town],MATCH(CampList[[#This Row],[CP_Pcode]],DistanceToCamp[CP_Pcode],0)-1,0,1,1),"")</f>
        <v>Lwegel Town</v>
      </c>
      <c r="AE73" s="227">
        <f ca="1">IFERROR(OFFSET(DistanceToCamp[distance],MATCH(CampList[[#This Row],[CP_Pcode]],DistanceToCamp[CP_Pcode],0)-1,0,1,1),"")</f>
        <v>0.77978735578277303</v>
      </c>
      <c r="AF73" s="237">
        <f ca="1">IFERROR(INT(CampList[[#This Row],[Distance]]/5)+1,"")</f>
        <v>1</v>
      </c>
    </row>
    <row r="74" spans="2:32" ht="15.75" customHeight="1" x14ac:dyDescent="0.3">
      <c r="B74" s="218" t="s">
        <v>460</v>
      </c>
      <c r="C74" s="212" t="s">
        <v>378</v>
      </c>
      <c r="D74" s="212" t="s">
        <v>478</v>
      </c>
      <c r="E74" s="212" t="s">
        <v>5</v>
      </c>
      <c r="F74" s="212" t="s">
        <v>482</v>
      </c>
      <c r="G74" s="212" t="s">
        <v>185</v>
      </c>
      <c r="H74" s="212" t="s">
        <v>486</v>
      </c>
      <c r="I74" s="226" t="s">
        <v>693</v>
      </c>
      <c r="J74" s="226" t="s">
        <v>694</v>
      </c>
      <c r="K74" s="226" t="s">
        <v>698</v>
      </c>
      <c r="L74" s="226" t="s">
        <v>699</v>
      </c>
      <c r="M74" s="212" t="s">
        <v>190</v>
      </c>
      <c r="N74" s="212" t="s">
        <v>189</v>
      </c>
      <c r="O74" s="219">
        <v>97.717133000000004</v>
      </c>
      <c r="P74" s="219">
        <v>24.200433</v>
      </c>
      <c r="Q74" s="220">
        <v>0</v>
      </c>
      <c r="R74" s="292">
        <v>203</v>
      </c>
      <c r="S74" s="292">
        <v>1138</v>
      </c>
      <c r="T74" s="222">
        <f>IF(CampList[[#This Row],[HH]]&gt;0,CampList[[#This Row],[Total]]/CampList[[#This Row],[HH]],"NA")</f>
        <v>5.6059113300492607</v>
      </c>
      <c r="U74" s="214" t="s">
        <v>464</v>
      </c>
      <c r="V74" s="214" t="s">
        <v>995</v>
      </c>
      <c r="W74" s="214" t="s">
        <v>507</v>
      </c>
      <c r="X74" s="214" t="s">
        <v>742</v>
      </c>
      <c r="Y74" s="331">
        <v>41000</v>
      </c>
      <c r="Z74" s="223" t="s">
        <v>424</v>
      </c>
      <c r="AA74" s="239" t="s">
        <v>774</v>
      </c>
      <c r="AB74" s="225">
        <v>43235</v>
      </c>
      <c r="AC74" s="218" t="s">
        <v>1757</v>
      </c>
      <c r="AD74" s="214" t="str">
        <f ca="1">IFERROR(OFFSET(DistanceToCamp[Nearest Town],MATCH(CampList[[#This Row],[CP_Pcode]],DistanceToCamp[CP_Pcode],0)-1,0,1,1),"")</f>
        <v>Lwegel Town</v>
      </c>
      <c r="AE74" s="227">
        <f ca="1">IFERROR(OFFSET(DistanceToCamp[distance],MATCH(CampList[[#This Row],[CP_Pcode]],DistanceToCamp[CP_Pcode],0)-1,0,1,1),"")</f>
        <v>0.38934692601696641</v>
      </c>
      <c r="AF74" s="228">
        <f ca="1">IFERROR(INT(CampList[[#This Row],[Distance]]/5)+1,"")</f>
        <v>1</v>
      </c>
    </row>
    <row r="75" spans="2:32" ht="15.75" customHeight="1" x14ac:dyDescent="0.3">
      <c r="B75" s="218" t="s">
        <v>460</v>
      </c>
      <c r="C75" s="212" t="s">
        <v>378</v>
      </c>
      <c r="D75" s="212" t="s">
        <v>478</v>
      </c>
      <c r="E75" s="212" t="s">
        <v>5</v>
      </c>
      <c r="F75" s="212" t="s">
        <v>482</v>
      </c>
      <c r="G75" s="212" t="s">
        <v>185</v>
      </c>
      <c r="H75" s="212" t="s">
        <v>486</v>
      </c>
      <c r="I75" s="226" t="s">
        <v>693</v>
      </c>
      <c r="J75" s="226" t="s">
        <v>694</v>
      </c>
      <c r="K75" s="245" t="s">
        <v>1101</v>
      </c>
      <c r="L75" s="245" t="s">
        <v>1102</v>
      </c>
      <c r="M75" s="212" t="s">
        <v>186</v>
      </c>
      <c r="N75" s="212" t="s">
        <v>184</v>
      </c>
      <c r="O75" s="219">
        <v>97.718582999999995</v>
      </c>
      <c r="P75" s="219">
        <v>24.200972</v>
      </c>
      <c r="Q75" s="233"/>
      <c r="R75" s="292">
        <v>40</v>
      </c>
      <c r="S75" s="292">
        <v>240</v>
      </c>
      <c r="T75" s="222">
        <f>IF(CampList[[#This Row],[HH]]&gt;0,CampList[[#This Row],[Total]]/CampList[[#This Row],[HH]],"NA")</f>
        <v>6</v>
      </c>
      <c r="U75" s="214" t="s">
        <v>464</v>
      </c>
      <c r="V75" s="214" t="s">
        <v>995</v>
      </c>
      <c r="W75" s="214" t="s">
        <v>507</v>
      </c>
      <c r="X75" s="214" t="s">
        <v>742</v>
      </c>
      <c r="Y75" s="332">
        <v>41030</v>
      </c>
      <c r="Z75" s="223" t="s">
        <v>424</v>
      </c>
      <c r="AA75" s="239" t="s">
        <v>774</v>
      </c>
      <c r="AB75" s="225">
        <v>43235</v>
      </c>
      <c r="AC75" s="218" t="s">
        <v>1758</v>
      </c>
      <c r="AD75" s="214" t="str">
        <f ca="1">IFERROR(OFFSET(DistanceToCamp[Nearest Town],MATCH(CampList[[#This Row],[CP_Pcode]],DistanceToCamp[CP_Pcode],0)-1,0,1,1),"")</f>
        <v>Lwegel Town</v>
      </c>
      <c r="AE75" s="227">
        <f ca="1">IFERROR(OFFSET(DistanceToCamp[distance],MATCH(CampList[[#This Row],[CP_Pcode]],DistanceToCamp[CP_Pcode],0)-1,0,1,1),"")</f>
        <v>0.28829825866869707</v>
      </c>
      <c r="AF75" s="228">
        <f ca="1">IFERROR(INT(CampList[[#This Row],[Distance]]/5)+1,"")</f>
        <v>1</v>
      </c>
    </row>
    <row r="76" spans="2:32" ht="15.75" customHeight="1" x14ac:dyDescent="0.3">
      <c r="B76" s="218" t="s">
        <v>460</v>
      </c>
      <c r="C76" s="212" t="s">
        <v>378</v>
      </c>
      <c r="D76" s="212" t="s">
        <v>478</v>
      </c>
      <c r="E76" s="212" t="s">
        <v>5</v>
      </c>
      <c r="F76" s="212" t="s">
        <v>482</v>
      </c>
      <c r="G76" s="212" t="s">
        <v>185</v>
      </c>
      <c r="H76" s="212" t="s">
        <v>486</v>
      </c>
      <c r="I76" s="212" t="s">
        <v>693</v>
      </c>
      <c r="J76" s="212" t="s">
        <v>1043</v>
      </c>
      <c r="K76" s="245" t="s">
        <v>698</v>
      </c>
      <c r="L76" s="245" t="s">
        <v>699</v>
      </c>
      <c r="M76" s="212" t="s">
        <v>229</v>
      </c>
      <c r="N76" s="212" t="s">
        <v>228</v>
      </c>
      <c r="O76" s="219">
        <v>97.724483000000006</v>
      </c>
      <c r="P76" s="219">
        <v>24.205417000000001</v>
      </c>
      <c r="Q76" s="220">
        <v>0</v>
      </c>
      <c r="R76" s="292">
        <v>48</v>
      </c>
      <c r="S76" s="292">
        <v>293</v>
      </c>
      <c r="T76" s="222">
        <f>IF(CampList[[#This Row],[HH]]&gt;0,CampList[[#This Row],[Total]]/CampList[[#This Row],[HH]],"NA")</f>
        <v>6.104166666666667</v>
      </c>
      <c r="U76" s="214" t="s">
        <v>464</v>
      </c>
      <c r="V76" s="214" t="s">
        <v>995</v>
      </c>
      <c r="W76" s="214" t="s">
        <v>507</v>
      </c>
      <c r="X76" s="214" t="s">
        <v>742</v>
      </c>
      <c r="Y76" s="331">
        <v>41122</v>
      </c>
      <c r="Z76" s="223" t="s">
        <v>424</v>
      </c>
      <c r="AA76" s="212" t="s">
        <v>774</v>
      </c>
      <c r="AB76" s="225">
        <v>43235</v>
      </c>
      <c r="AC76" s="226" t="s">
        <v>1759</v>
      </c>
      <c r="AD76" s="214" t="str">
        <f ca="1">IFERROR(OFFSET(DistanceToCamp[Nearest Town],MATCH(CampList[[#This Row],[CP_Pcode]],DistanceToCamp[CP_Pcode],0)-1,0,1,1),"")</f>
        <v>Lwegel Town</v>
      </c>
      <c r="AE76" s="227">
        <f ca="1">IFERROR(OFFSET(DistanceToCamp[distance],MATCH(CampList[[#This Row],[CP_Pcode]],DistanceToCamp[CP_Pcode],0)-1,0,1,1),"")</f>
        <v>0.77561767807574999</v>
      </c>
      <c r="AF76" s="228">
        <f ca="1">IFERROR(INT(CampList[[#This Row],[Distance]]/5)+1,"")</f>
        <v>1</v>
      </c>
    </row>
    <row r="77" spans="2:32" ht="15.75" customHeight="1" x14ac:dyDescent="0.3">
      <c r="B77" s="218" t="s">
        <v>460</v>
      </c>
      <c r="C77" s="212" t="s">
        <v>378</v>
      </c>
      <c r="D77" s="212" t="s">
        <v>478</v>
      </c>
      <c r="E77" s="212" t="s">
        <v>5</v>
      </c>
      <c r="F77" s="212" t="s">
        <v>482</v>
      </c>
      <c r="G77" s="212" t="s">
        <v>185</v>
      </c>
      <c r="H77" s="212" t="s">
        <v>486</v>
      </c>
      <c r="I77" s="212" t="s">
        <v>693</v>
      </c>
      <c r="J77" s="212" t="s">
        <v>694</v>
      </c>
      <c r="K77" s="212" t="s">
        <v>1106</v>
      </c>
      <c r="L77" s="212" t="s">
        <v>1107</v>
      </c>
      <c r="M77" s="212" t="s">
        <v>225</v>
      </c>
      <c r="N77" s="212" t="s">
        <v>224</v>
      </c>
      <c r="O77" s="219">
        <v>97.710864000000001</v>
      </c>
      <c r="P77" s="219">
        <v>24.207332999999998</v>
      </c>
      <c r="Q77" s="220">
        <v>0</v>
      </c>
      <c r="R77" s="292">
        <v>43</v>
      </c>
      <c r="S77" s="292">
        <v>269</v>
      </c>
      <c r="T77" s="222">
        <f>IF(CampList[[#This Row],[HH]]&gt;0,CampList[[#This Row],[Total]]/CampList[[#This Row],[HH]],"NA")</f>
        <v>6.2558139534883717</v>
      </c>
      <c r="U77" s="214" t="s">
        <v>464</v>
      </c>
      <c r="V77" s="214" t="s">
        <v>995</v>
      </c>
      <c r="W77" s="214" t="s">
        <v>507</v>
      </c>
      <c r="X77" s="214" t="s">
        <v>742</v>
      </c>
      <c r="Y77" s="331">
        <v>41122</v>
      </c>
      <c r="Z77" s="223" t="s">
        <v>424</v>
      </c>
      <c r="AA77" s="212" t="s">
        <v>774</v>
      </c>
      <c r="AB77" s="225">
        <v>43235</v>
      </c>
      <c r="AC77" s="226" t="s">
        <v>1754</v>
      </c>
      <c r="AD77" s="214" t="str">
        <f ca="1">IFERROR(OFFSET(DistanceToCamp[Nearest Town],MATCH(CampList[[#This Row],[CP_Pcode]],DistanceToCamp[CP_Pcode],0)-1,0,1,1),"")</f>
        <v>Lwegel Town</v>
      </c>
      <c r="AE77" s="227">
        <f ca="1">IFERROR(OFFSET(DistanceToCamp[distance],MATCH(CampList[[#This Row],[CP_Pcode]],DistanceToCamp[CP_Pcode],0)-1,0,1,1),"")</f>
        <v>1.343152344964242</v>
      </c>
      <c r="AF77" s="228">
        <f ca="1">IFERROR(INT(CampList[[#This Row],[Distance]]/5)+1,"")</f>
        <v>1</v>
      </c>
    </row>
    <row r="78" spans="2:32" ht="15.75" hidden="1" customHeight="1" x14ac:dyDescent="0.3">
      <c r="B78" s="218" t="s">
        <v>775</v>
      </c>
      <c r="C78" s="212" t="s">
        <v>378</v>
      </c>
      <c r="D78" s="212" t="s">
        <v>478</v>
      </c>
      <c r="E78" s="212" t="s">
        <v>299</v>
      </c>
      <c r="F78" s="212" t="s">
        <v>499</v>
      </c>
      <c r="G78" s="212" t="s">
        <v>144</v>
      </c>
      <c r="H78" s="212" t="s">
        <v>500</v>
      </c>
      <c r="I78" s="226" t="s">
        <v>723</v>
      </c>
      <c r="J78" s="226" t="s">
        <v>724</v>
      </c>
      <c r="K78" s="226" t="s">
        <v>145</v>
      </c>
      <c r="L78" s="226">
        <v>168236</v>
      </c>
      <c r="M78" s="212" t="s">
        <v>145</v>
      </c>
      <c r="N78" s="212" t="s">
        <v>143</v>
      </c>
      <c r="O78" s="219">
        <v>98.144502500000002</v>
      </c>
      <c r="P78" s="219">
        <v>26.890058</v>
      </c>
      <c r="Q78" s="233">
        <v>1393</v>
      </c>
      <c r="R78" s="302"/>
      <c r="S78" s="303"/>
      <c r="T78" s="222" t="str">
        <f>IF(CampList[[#This Row],[HH]]&gt;0,CampList[[#This Row],[Total]]/CampList[[#This Row],[HH]],"NA")</f>
        <v>NA</v>
      </c>
      <c r="U78" s="214" t="s">
        <v>464</v>
      </c>
      <c r="V78" s="214" t="s">
        <v>995</v>
      </c>
      <c r="W78" s="214" t="s">
        <v>507</v>
      </c>
      <c r="X78" s="214" t="s">
        <v>784</v>
      </c>
      <c r="Y78" s="234"/>
      <c r="Z78" s="224"/>
      <c r="AA78" s="239" t="s">
        <v>773</v>
      </c>
      <c r="AB78" s="225">
        <v>42768</v>
      </c>
      <c r="AC78" s="218" t="s">
        <v>1219</v>
      </c>
      <c r="AD78" s="214" t="str">
        <f ca="1">IFERROR(OFFSET(DistanceToCamp[Nearest Town],MATCH(CampList[[#This Row],[CP_Pcode]],DistanceToCamp[CP_Pcode],0)-1,0,1,1),"")</f>
        <v>Khaunglanhpu Town</v>
      </c>
      <c r="AE78" s="227">
        <f ca="1">IFERROR(OFFSET(DistanceToCamp[distance],MATCH(CampList[[#This Row],[CP_Pcode]],DistanceToCamp[CP_Pcode],0)-1,0,1,1),"")</f>
        <v>28.422357500443528</v>
      </c>
      <c r="AF78" s="228">
        <f ca="1">IFERROR(INT(CampList[[#This Row],[Distance]]/5)+1,"")</f>
        <v>6</v>
      </c>
    </row>
    <row r="79" spans="2:32" ht="15.75" customHeight="1" x14ac:dyDescent="0.3">
      <c r="B79" s="239" t="s">
        <v>460</v>
      </c>
      <c r="C79" s="212" t="s">
        <v>378</v>
      </c>
      <c r="D79" s="212" t="s">
        <v>478</v>
      </c>
      <c r="E79" s="212" t="s">
        <v>299</v>
      </c>
      <c r="F79" s="212" t="s">
        <v>499</v>
      </c>
      <c r="G79" s="212" t="s">
        <v>299</v>
      </c>
      <c r="H79" s="212" t="s">
        <v>505</v>
      </c>
      <c r="I79" s="212" t="s">
        <v>740</v>
      </c>
      <c r="J79" s="212" t="s">
        <v>741</v>
      </c>
      <c r="K79" s="212" t="s">
        <v>886</v>
      </c>
      <c r="L79" s="212" t="s">
        <v>887</v>
      </c>
      <c r="M79" s="212" t="s">
        <v>300</v>
      </c>
      <c r="N79" s="212" t="s">
        <v>298</v>
      </c>
      <c r="O79" s="219">
        <v>97.415289999999999</v>
      </c>
      <c r="P79" s="219">
        <v>27.311699999999998</v>
      </c>
      <c r="Q79" s="220">
        <v>476.7</v>
      </c>
      <c r="R79" s="220">
        <v>14</v>
      </c>
      <c r="S79" s="233">
        <v>75</v>
      </c>
      <c r="T79" s="222">
        <f>IF(CampList[[#This Row],[HH]]&gt;0,CampList[[#This Row],[Total]]/CampList[[#This Row],[HH]],"NA")</f>
        <v>5.3571428571428568</v>
      </c>
      <c r="U79" s="214" t="s">
        <v>464</v>
      </c>
      <c r="V79" s="214" t="s">
        <v>995</v>
      </c>
      <c r="W79" s="214" t="s">
        <v>12</v>
      </c>
      <c r="X79" s="214" t="s">
        <v>784</v>
      </c>
      <c r="Y79" s="331"/>
      <c r="Z79" s="224" t="s">
        <v>1322</v>
      </c>
      <c r="AA79" s="212" t="s">
        <v>774</v>
      </c>
      <c r="AB79" s="225">
        <v>42874</v>
      </c>
      <c r="AC79" s="226" t="s">
        <v>1270</v>
      </c>
      <c r="AD79" s="214" t="str">
        <f ca="1">IFERROR(OFFSET(DistanceToCamp[Nearest Town],MATCH(CampList[[#This Row],[CP_Pcode]],DistanceToCamp[CP_Pcode],0)-1,0,1,1),"")</f>
        <v>Puta-O Town</v>
      </c>
      <c r="AE79" s="227">
        <f ca="1">IFERROR(OFFSET(DistanceToCamp[distance],MATCH(CampList[[#This Row],[CP_Pcode]],DistanceToCamp[CP_Pcode],0)-1,0,1,1),"")</f>
        <v>1.3759254000531889</v>
      </c>
      <c r="AF79" s="228">
        <f ca="1">IFERROR(INT(CampList[[#This Row],[Distance]]/5)+1,"")</f>
        <v>1</v>
      </c>
    </row>
    <row r="80" spans="2:32" ht="15.75" customHeight="1" x14ac:dyDescent="0.3">
      <c r="B80" s="218" t="s">
        <v>460</v>
      </c>
      <c r="C80" s="212" t="s">
        <v>378</v>
      </c>
      <c r="D80" s="212" t="s">
        <v>478</v>
      </c>
      <c r="E80" s="212" t="s">
        <v>180</v>
      </c>
      <c r="F80" s="212" t="s">
        <v>479</v>
      </c>
      <c r="G80" s="212" t="s">
        <v>173</v>
      </c>
      <c r="H80" s="212" t="s">
        <v>498</v>
      </c>
      <c r="I80" s="226" t="s">
        <v>572</v>
      </c>
      <c r="J80" s="226" t="s">
        <v>573</v>
      </c>
      <c r="K80" s="226" t="s">
        <v>574</v>
      </c>
      <c r="L80" s="226">
        <v>166676</v>
      </c>
      <c r="M80" s="212" t="s">
        <v>1502</v>
      </c>
      <c r="N80" s="212" t="s">
        <v>175</v>
      </c>
      <c r="O80" s="219">
        <v>96.942279999999997</v>
      </c>
      <c r="P80" s="219">
        <v>25.296579999999999</v>
      </c>
      <c r="Q80" s="220">
        <v>0</v>
      </c>
      <c r="R80" s="292">
        <v>16</v>
      </c>
      <c r="S80" s="292">
        <v>79</v>
      </c>
      <c r="T80" s="222">
        <f>IF(CampList[[#This Row],[HH]]&gt;0,CampList[[#This Row],[Total]]/CampList[[#This Row],[HH]],"NA")</f>
        <v>4.9375</v>
      </c>
      <c r="U80" s="214" t="s">
        <v>464</v>
      </c>
      <c r="V80" s="214" t="s">
        <v>995</v>
      </c>
      <c r="W80" s="214" t="s">
        <v>507</v>
      </c>
      <c r="X80" s="214" t="s">
        <v>742</v>
      </c>
      <c r="Y80" s="331">
        <v>41030</v>
      </c>
      <c r="Z80" s="223" t="s">
        <v>424</v>
      </c>
      <c r="AA80" s="239" t="s">
        <v>774</v>
      </c>
      <c r="AB80" s="225">
        <v>43235</v>
      </c>
      <c r="AC80" s="218" t="s">
        <v>1760</v>
      </c>
      <c r="AD80" s="214" t="str">
        <f ca="1">IFERROR(OFFSET(DistanceToCamp[Nearest Town],MATCH(CampList[[#This Row],[CP_Pcode]],DistanceToCamp[CP_Pcode],0)-1,0,1,1),"")</f>
        <v>Mogaung Town</v>
      </c>
      <c r="AE80" s="227">
        <f ca="1">IFERROR(OFFSET(DistanceToCamp[distance],MATCH(CampList[[#This Row],[CP_Pcode]],DistanceToCamp[CP_Pcode],0)-1,0,1,1),"")</f>
        <v>0.71141459237180937</v>
      </c>
      <c r="AF80" s="228">
        <f ca="1">IFERROR(INT(CampList[[#This Row],[Distance]]/5)+1,"")</f>
        <v>1</v>
      </c>
    </row>
    <row r="81" spans="2:32" ht="15.75" customHeight="1" x14ac:dyDescent="0.3">
      <c r="B81" s="218" t="s">
        <v>460</v>
      </c>
      <c r="C81" s="212" t="s">
        <v>378</v>
      </c>
      <c r="D81" s="212" t="s">
        <v>478</v>
      </c>
      <c r="E81" s="212" t="s">
        <v>180</v>
      </c>
      <c r="F81" s="212" t="s">
        <v>479</v>
      </c>
      <c r="G81" s="212" t="s">
        <v>173</v>
      </c>
      <c r="H81" s="212" t="s">
        <v>498</v>
      </c>
      <c r="I81" s="226" t="s">
        <v>570</v>
      </c>
      <c r="J81" s="226" t="s">
        <v>571</v>
      </c>
      <c r="K81" s="245" t="s">
        <v>1099</v>
      </c>
      <c r="L81" s="245" t="s">
        <v>1100</v>
      </c>
      <c r="M81" s="212" t="s">
        <v>174</v>
      </c>
      <c r="N81" s="212" t="s">
        <v>172</v>
      </c>
      <c r="O81" s="219">
        <v>96.922619999999995</v>
      </c>
      <c r="P81" s="219">
        <v>25.305669999999999</v>
      </c>
      <c r="Q81" s="220">
        <v>470</v>
      </c>
      <c r="R81" s="292">
        <v>13</v>
      </c>
      <c r="S81" s="292">
        <v>70</v>
      </c>
      <c r="T81" s="222">
        <f>IF(CampList[[#This Row],[HH]]&gt;0,CampList[[#This Row],[Total]]/CampList[[#This Row],[HH]],"NA")</f>
        <v>5.384615384615385</v>
      </c>
      <c r="U81" s="214" t="s">
        <v>464</v>
      </c>
      <c r="V81" s="214" t="s">
        <v>995</v>
      </c>
      <c r="W81" s="214" t="s">
        <v>507</v>
      </c>
      <c r="X81" s="214" t="s">
        <v>742</v>
      </c>
      <c r="Y81" s="331">
        <v>41030</v>
      </c>
      <c r="Z81" s="223" t="s">
        <v>424</v>
      </c>
      <c r="AA81" s="239" t="s">
        <v>774</v>
      </c>
      <c r="AB81" s="225">
        <v>43235</v>
      </c>
      <c r="AC81" s="218" t="s">
        <v>1760</v>
      </c>
      <c r="AD81" s="214" t="str">
        <f ca="1">IFERROR(OFFSET(DistanceToCamp[Nearest Town],MATCH(CampList[[#This Row],[CP_Pcode]],DistanceToCamp[CP_Pcode],0)-1,0,1,1),"")</f>
        <v>Mogaung Town</v>
      </c>
      <c r="AE81" s="227">
        <f ca="1">IFERROR(OFFSET(DistanceToCamp[distance],MATCH(CampList[[#This Row],[CP_Pcode]],DistanceToCamp[CP_Pcode],0)-1,0,1,1),"")</f>
        <v>1.815139598767344</v>
      </c>
      <c r="AF81" s="228">
        <f ca="1">IFERROR(INT(CampList[[#This Row],[Distance]]/5)+1,"")</f>
        <v>1</v>
      </c>
    </row>
    <row r="82" spans="2:32" ht="15.75" customHeight="1" x14ac:dyDescent="0.3">
      <c r="B82" s="218" t="s">
        <v>460</v>
      </c>
      <c r="C82" s="212" t="s">
        <v>378</v>
      </c>
      <c r="D82" s="212" t="s">
        <v>478</v>
      </c>
      <c r="E82" s="212" t="s">
        <v>180</v>
      </c>
      <c r="F82" s="212" t="s">
        <v>479</v>
      </c>
      <c r="G82" s="212" t="s">
        <v>173</v>
      </c>
      <c r="H82" s="212" t="s">
        <v>498</v>
      </c>
      <c r="I82" s="212" t="s">
        <v>570</v>
      </c>
      <c r="J82" s="212" t="s">
        <v>571</v>
      </c>
      <c r="K82" s="212" t="s">
        <v>575</v>
      </c>
      <c r="L82" s="212" t="s">
        <v>576</v>
      </c>
      <c r="M82" s="212" t="s">
        <v>178</v>
      </c>
      <c r="N82" s="212" t="s">
        <v>177</v>
      </c>
      <c r="O82" s="219">
        <v>96.948740000000001</v>
      </c>
      <c r="P82" s="219">
        <v>25.30442</v>
      </c>
      <c r="Q82" s="220">
        <v>100</v>
      </c>
      <c r="R82" s="292">
        <v>10</v>
      </c>
      <c r="S82" s="292">
        <v>41</v>
      </c>
      <c r="T82" s="222">
        <f>IF(CampList[[#This Row],[HH]]&gt;0,CampList[[#This Row],[Total]]/CampList[[#This Row],[HH]],"NA")</f>
        <v>4.0999999999999996</v>
      </c>
      <c r="U82" s="214" t="s">
        <v>464</v>
      </c>
      <c r="V82" s="214" t="s">
        <v>995</v>
      </c>
      <c r="W82" s="214" t="s">
        <v>507</v>
      </c>
      <c r="X82" s="214" t="s">
        <v>742</v>
      </c>
      <c r="Y82" s="331">
        <v>40969</v>
      </c>
      <c r="Z82" s="223" t="s">
        <v>424</v>
      </c>
      <c r="AA82" s="212" t="s">
        <v>774</v>
      </c>
      <c r="AB82" s="225">
        <v>43235</v>
      </c>
      <c r="AC82" s="226" t="s">
        <v>1761</v>
      </c>
      <c r="AD82" s="214" t="str">
        <f ca="1">IFERROR(OFFSET(DistanceToCamp[Nearest Town],MATCH(CampList[[#This Row],[CP_Pcode]],DistanceToCamp[CP_Pcode],0)-1,0,1,1),"")</f>
        <v>Mogaung Town</v>
      </c>
      <c r="AE82" s="227">
        <f ca="1">IFERROR(OFFSET(DistanceToCamp[distance],MATCH(CampList[[#This Row],[CP_Pcode]],DistanceToCamp[CP_Pcode],0)-1,0,1,1),"")</f>
        <v>0.86042374061342075</v>
      </c>
      <c r="AF82" s="228">
        <f ca="1">IFERROR(INT(CampList[[#This Row],[Distance]]/5)+1,"")</f>
        <v>1</v>
      </c>
    </row>
    <row r="83" spans="2:32" ht="15.75" customHeight="1" x14ac:dyDescent="0.3">
      <c r="B83" s="231" t="s">
        <v>460</v>
      </c>
      <c r="C83" s="213" t="s">
        <v>378</v>
      </c>
      <c r="D83" s="213" t="s">
        <v>478</v>
      </c>
      <c r="E83" s="213" t="s">
        <v>180</v>
      </c>
      <c r="F83" s="213" t="s">
        <v>479</v>
      </c>
      <c r="G83" s="213" t="s">
        <v>180</v>
      </c>
      <c r="H83" s="213" t="s">
        <v>504</v>
      </c>
      <c r="I83" s="213" t="s">
        <v>960</v>
      </c>
      <c r="J83" s="232" t="s">
        <v>1038</v>
      </c>
      <c r="K83" s="245" t="s">
        <v>1117</v>
      </c>
      <c r="L83" s="245" t="s">
        <v>1118</v>
      </c>
      <c r="M83" s="213" t="s">
        <v>181</v>
      </c>
      <c r="N83" s="213" t="s">
        <v>179</v>
      </c>
      <c r="O83" s="221">
        <v>96.367059999999995</v>
      </c>
      <c r="P83" s="221">
        <v>24.764800000000001</v>
      </c>
      <c r="Q83" s="233"/>
      <c r="R83" s="292">
        <v>11</v>
      </c>
      <c r="S83" s="292">
        <v>55</v>
      </c>
      <c r="T83" s="222">
        <f>IF(CampList[[#This Row],[HH]]&gt;0,CampList[[#This Row],[Total]]/CampList[[#This Row],[HH]],"NA")</f>
        <v>5</v>
      </c>
      <c r="U83" s="197" t="s">
        <v>464</v>
      </c>
      <c r="V83" s="214" t="s">
        <v>995</v>
      </c>
      <c r="W83" s="197" t="s">
        <v>507</v>
      </c>
      <c r="X83" s="197" t="s">
        <v>742</v>
      </c>
      <c r="Y83" s="332">
        <v>41061</v>
      </c>
      <c r="Z83" s="233" t="s">
        <v>936</v>
      </c>
      <c r="AA83" s="213" t="s">
        <v>774</v>
      </c>
      <c r="AB83" s="225">
        <v>43230</v>
      </c>
      <c r="AC83" s="235" t="s">
        <v>1705</v>
      </c>
      <c r="AD83" s="236" t="str">
        <f ca="1">IFERROR(OFFSET(DistanceToCamp[Nearest Town],MATCH(CampList[[#This Row],[CP_Pcode]],DistanceToCamp[CP_Pcode],0)-1,0,1,1),"")</f>
        <v>Mohnyin Town</v>
      </c>
      <c r="AE83" s="227">
        <f ca="1">IFERROR(OFFSET(DistanceToCamp[distance],MATCH(CampList[[#This Row],[CP_Pcode]],DistanceToCamp[CP_Pcode],0)-1,0,1,1),"")</f>
        <v>1.7021273757523427</v>
      </c>
      <c r="AF83" s="237">
        <f ca="1">IFERROR(INT(CampList[[#This Row],[Distance]]/5)+1,"")</f>
        <v>1</v>
      </c>
    </row>
    <row r="84" spans="2:32" ht="15.75" hidden="1" customHeight="1" x14ac:dyDescent="0.3">
      <c r="B84" s="218" t="s">
        <v>775</v>
      </c>
      <c r="C84" s="212" t="s">
        <v>378</v>
      </c>
      <c r="D84" s="212" t="s">
        <v>478</v>
      </c>
      <c r="E84" s="212" t="s">
        <v>180</v>
      </c>
      <c r="F84" s="212" t="s">
        <v>479</v>
      </c>
      <c r="G84" s="212" t="s">
        <v>180</v>
      </c>
      <c r="H84" s="212" t="s">
        <v>504</v>
      </c>
      <c r="I84" s="226" t="s">
        <v>556</v>
      </c>
      <c r="J84" s="226" t="s">
        <v>557</v>
      </c>
      <c r="K84" s="226" t="s">
        <v>556</v>
      </c>
      <c r="L84" s="226">
        <v>166591</v>
      </c>
      <c r="M84" s="212" t="s">
        <v>183</v>
      </c>
      <c r="N84" s="212" t="s">
        <v>182</v>
      </c>
      <c r="O84" s="219">
        <v>96.364949999999993</v>
      </c>
      <c r="P84" s="219">
        <v>24.998349999999999</v>
      </c>
      <c r="Q84" s="220">
        <v>0</v>
      </c>
      <c r="R84" s="302">
        <v>0</v>
      </c>
      <c r="S84" s="303">
        <v>0</v>
      </c>
      <c r="T84" s="222" t="str">
        <f>IF(CampList[[#This Row],[HH]]&gt;0,CampList[[#This Row],[Total]]/CampList[[#This Row],[HH]],"NA")</f>
        <v>NA</v>
      </c>
      <c r="U84" s="214" t="s">
        <v>464</v>
      </c>
      <c r="V84" s="214" t="s">
        <v>995</v>
      </c>
      <c r="W84" s="214" t="s">
        <v>507</v>
      </c>
      <c r="X84" s="214" t="s">
        <v>784</v>
      </c>
      <c r="Y84" s="223">
        <v>40969</v>
      </c>
      <c r="Z84" s="223" t="s">
        <v>424</v>
      </c>
      <c r="AA84" s="239" t="s">
        <v>773</v>
      </c>
      <c r="AB84" s="225">
        <v>41837</v>
      </c>
      <c r="AC84" s="218" t="s">
        <v>940</v>
      </c>
      <c r="AD84" s="214" t="str">
        <f ca="1">IFERROR(OFFSET(DistanceToCamp[Nearest Town],MATCH(CampList[[#This Row],[CP_Pcode]],DistanceToCamp[CP_Pcode],0)-1,0,1,1),"")</f>
        <v/>
      </c>
      <c r="AE84" s="227" t="str">
        <f ca="1">IFERROR(OFFSET(DistanceToCamp[distance],MATCH(CampList[[#This Row],[CP_Pcode]],DistanceToCamp[CP_Pcode],0)-1,0,1,1),"")</f>
        <v/>
      </c>
      <c r="AF84" s="228" t="str">
        <f ca="1">IFERROR(INT(CampList[[#This Row],[Distance]]/5)+1,"")</f>
        <v/>
      </c>
    </row>
    <row r="85" spans="2:32" ht="15.75" hidden="1" customHeight="1" x14ac:dyDescent="0.3">
      <c r="B85" s="218" t="s">
        <v>775</v>
      </c>
      <c r="C85" s="212" t="s">
        <v>378</v>
      </c>
      <c r="D85" s="212" t="s">
        <v>478</v>
      </c>
      <c r="E85" s="212" t="s">
        <v>180</v>
      </c>
      <c r="F85" s="212" t="s">
        <v>479</v>
      </c>
      <c r="G85" s="212" t="s">
        <v>480</v>
      </c>
      <c r="H85" s="212" t="s">
        <v>481</v>
      </c>
      <c r="I85" s="226" t="s">
        <v>543</v>
      </c>
      <c r="J85" s="226" t="s">
        <v>544</v>
      </c>
      <c r="K85" s="226" t="s">
        <v>545</v>
      </c>
      <c r="L85" s="226" t="s">
        <v>546</v>
      </c>
      <c r="M85" s="212" t="s">
        <v>110</v>
      </c>
      <c r="N85" s="212" t="s">
        <v>109</v>
      </c>
      <c r="O85" s="219">
        <v>96.312790000000007</v>
      </c>
      <c r="P85" s="219">
        <v>25.611160000000002</v>
      </c>
      <c r="Q85" s="220">
        <v>0</v>
      </c>
      <c r="R85" s="302">
        <v>0</v>
      </c>
      <c r="S85" s="303">
        <v>0</v>
      </c>
      <c r="T85" s="222" t="str">
        <f>IF(CampList[[#This Row],[HH]]&gt;0,CampList[[#This Row],[Total]]/CampList[[#This Row],[HH]],"NA")</f>
        <v>NA</v>
      </c>
      <c r="U85" s="214" t="s">
        <v>464</v>
      </c>
      <c r="V85" s="214" t="s">
        <v>995</v>
      </c>
      <c r="W85" s="214" t="s">
        <v>507</v>
      </c>
      <c r="X85" s="214" t="s">
        <v>742</v>
      </c>
      <c r="Y85" s="223">
        <v>41122</v>
      </c>
      <c r="Z85" s="223" t="s">
        <v>424</v>
      </c>
      <c r="AA85" s="239" t="s">
        <v>774</v>
      </c>
      <c r="AB85" s="225">
        <v>41774</v>
      </c>
      <c r="AC85" s="218" t="s">
        <v>897</v>
      </c>
      <c r="AD85" s="214" t="str">
        <f ca="1">IFERROR(OFFSET(DistanceToCamp[Nearest Town],MATCH(CampList[[#This Row],[CP_Pcode]],DistanceToCamp[CP_Pcode],0)-1,0,1,1),"")</f>
        <v/>
      </c>
      <c r="AE85" s="227" t="str">
        <f ca="1">IFERROR(OFFSET(DistanceToCamp[distance],MATCH(CampList[[#This Row],[CP_Pcode]],DistanceToCamp[CP_Pcode],0)-1,0,1,1),"")</f>
        <v/>
      </c>
      <c r="AF85" s="228" t="str">
        <f ca="1">IFERROR(INT(CampList[[#This Row],[Distance]]/5)+1,"")</f>
        <v/>
      </c>
    </row>
    <row r="86" spans="2:32" ht="15.75" hidden="1" customHeight="1" x14ac:dyDescent="0.3">
      <c r="B86" s="218" t="s">
        <v>775</v>
      </c>
      <c r="C86" s="212" t="s">
        <v>378</v>
      </c>
      <c r="D86" s="212" t="s">
        <v>478</v>
      </c>
      <c r="E86" s="212" t="s">
        <v>180</v>
      </c>
      <c r="F86" s="212" t="s">
        <v>479</v>
      </c>
      <c r="G86" s="212" t="s">
        <v>480</v>
      </c>
      <c r="H86" s="212" t="s">
        <v>481</v>
      </c>
      <c r="I86" s="226" t="s">
        <v>543</v>
      </c>
      <c r="J86" s="226" t="s">
        <v>544</v>
      </c>
      <c r="K86" s="226" t="s">
        <v>545</v>
      </c>
      <c r="L86" s="226" t="s">
        <v>546</v>
      </c>
      <c r="M86" s="212" t="s">
        <v>112</v>
      </c>
      <c r="N86" s="212" t="s">
        <v>111</v>
      </c>
      <c r="O86" s="219">
        <v>96.31326</v>
      </c>
      <c r="P86" s="219">
        <v>25.611899999999999</v>
      </c>
      <c r="Q86" s="233"/>
      <c r="R86" s="302">
        <v>0</v>
      </c>
      <c r="S86" s="303">
        <v>0</v>
      </c>
      <c r="T86" s="222" t="str">
        <f>IF(CampList[[#This Row],[HH]]&gt;0,CampList[[#This Row],[Total]]/CampList[[#This Row],[HH]],"NA")</f>
        <v>NA</v>
      </c>
      <c r="U86" s="214" t="s">
        <v>464</v>
      </c>
      <c r="V86" s="214" t="s">
        <v>995</v>
      </c>
      <c r="W86" s="214" t="s">
        <v>507</v>
      </c>
      <c r="X86" s="214"/>
      <c r="Y86" s="234"/>
      <c r="Z86" s="224"/>
      <c r="AA86" s="239"/>
      <c r="AB86" s="243"/>
      <c r="AC86" s="218" t="s">
        <v>541</v>
      </c>
      <c r="AD86" s="214" t="str">
        <f ca="1">IFERROR(OFFSET(DistanceToCamp[Nearest Town],MATCH(CampList[[#This Row],[CP_Pcode]],DistanceToCamp[CP_Pcode],0)-1,0,1,1),"")</f>
        <v/>
      </c>
      <c r="AE86" s="227" t="str">
        <f ca="1">IFERROR(OFFSET(DistanceToCamp[distance],MATCH(CampList[[#This Row],[CP_Pcode]],DistanceToCamp[CP_Pcode],0)-1,0,1,1),"")</f>
        <v/>
      </c>
      <c r="AF86" s="228" t="str">
        <f ca="1">IFERROR(INT(CampList[[#This Row],[Distance]]/5)+1,"")</f>
        <v/>
      </c>
    </row>
    <row r="87" spans="2:32" ht="15.75" hidden="1" customHeight="1" x14ac:dyDescent="0.3">
      <c r="B87" s="218" t="s">
        <v>775</v>
      </c>
      <c r="C87" s="212" t="s">
        <v>378</v>
      </c>
      <c r="D87" s="212" t="s">
        <v>478</v>
      </c>
      <c r="E87" s="212" t="s">
        <v>180</v>
      </c>
      <c r="F87" s="212" t="s">
        <v>479</v>
      </c>
      <c r="G87" s="212" t="s">
        <v>480</v>
      </c>
      <c r="H87" s="212" t="s">
        <v>481</v>
      </c>
      <c r="I87" s="226" t="s">
        <v>543</v>
      </c>
      <c r="J87" s="226" t="s">
        <v>544</v>
      </c>
      <c r="K87" s="226" t="s">
        <v>547</v>
      </c>
      <c r="L87" s="226" t="s">
        <v>548</v>
      </c>
      <c r="M87" s="212" t="s">
        <v>86</v>
      </c>
      <c r="N87" s="212" t="s">
        <v>85</v>
      </c>
      <c r="O87" s="219"/>
      <c r="P87" s="219"/>
      <c r="Q87" s="233"/>
      <c r="R87" s="302">
        <v>0</v>
      </c>
      <c r="S87" s="303">
        <v>0</v>
      </c>
      <c r="T87" s="222" t="str">
        <f>IF(CampList[[#This Row],[HH]]&gt;0,CampList[[#This Row],[Total]]/CampList[[#This Row],[HH]],"NA")</f>
        <v>NA</v>
      </c>
      <c r="U87" s="214" t="s">
        <v>464</v>
      </c>
      <c r="V87" s="214" t="s">
        <v>995</v>
      </c>
      <c r="W87" s="214" t="s">
        <v>507</v>
      </c>
      <c r="X87" s="214"/>
      <c r="Y87" s="234"/>
      <c r="Z87" s="224"/>
      <c r="AA87" s="239"/>
      <c r="AB87" s="243"/>
      <c r="AC87" s="218" t="s">
        <v>541</v>
      </c>
      <c r="AD87" s="214" t="str">
        <f ca="1">IFERROR(OFFSET(DistanceToCamp[Nearest Town],MATCH(CampList[[#This Row],[CP_Pcode]],DistanceToCamp[CP_Pcode],0)-1,0,1,1),"")</f>
        <v/>
      </c>
      <c r="AE87" s="227" t="str">
        <f ca="1">IFERROR(OFFSET(DistanceToCamp[distance],MATCH(CampList[[#This Row],[CP_Pcode]],DistanceToCamp[CP_Pcode],0)-1,0,1,1),"")</f>
        <v/>
      </c>
      <c r="AF87" s="228" t="str">
        <f ca="1">IFERROR(INT(CampList[[#This Row],[Distance]]/5)+1,"")</f>
        <v/>
      </c>
    </row>
    <row r="88" spans="2:32" ht="15.75" hidden="1" customHeight="1" x14ac:dyDescent="0.3">
      <c r="B88" s="218" t="s">
        <v>775</v>
      </c>
      <c r="C88" s="212" t="s">
        <v>378</v>
      </c>
      <c r="D88" s="212" t="s">
        <v>478</v>
      </c>
      <c r="E88" s="212" t="s">
        <v>180</v>
      </c>
      <c r="F88" s="212" t="s">
        <v>479</v>
      </c>
      <c r="G88" s="212" t="s">
        <v>480</v>
      </c>
      <c r="H88" s="212" t="s">
        <v>481</v>
      </c>
      <c r="I88" s="226" t="s">
        <v>543</v>
      </c>
      <c r="J88" s="226" t="s">
        <v>544</v>
      </c>
      <c r="K88" s="226" t="s">
        <v>547</v>
      </c>
      <c r="L88" s="226" t="s">
        <v>548</v>
      </c>
      <c r="M88" s="212" t="s">
        <v>84</v>
      </c>
      <c r="N88" s="212" t="s">
        <v>83</v>
      </c>
      <c r="O88" s="219">
        <v>96.316210999999996</v>
      </c>
      <c r="P88" s="219">
        <v>25.619221</v>
      </c>
      <c r="Q88" s="233"/>
      <c r="R88" s="302">
        <v>0</v>
      </c>
      <c r="S88" s="303">
        <v>0</v>
      </c>
      <c r="T88" s="222" t="str">
        <f>IF(CampList[[#This Row],[HH]]&gt;0,CampList[[#This Row],[Total]]/CampList[[#This Row],[HH]],"NA")</f>
        <v>NA</v>
      </c>
      <c r="U88" s="214" t="s">
        <v>464</v>
      </c>
      <c r="V88" s="214" t="s">
        <v>995</v>
      </c>
      <c r="W88" s="214" t="s">
        <v>507</v>
      </c>
      <c r="X88" s="214"/>
      <c r="Y88" s="234"/>
      <c r="Z88" s="224"/>
      <c r="AA88" s="239"/>
      <c r="AB88" s="243"/>
      <c r="AC88" s="218" t="s">
        <v>541</v>
      </c>
      <c r="AD88" s="214" t="str">
        <f ca="1">IFERROR(OFFSET(DistanceToCamp[Nearest Town],MATCH(CampList[[#This Row],[CP_Pcode]],DistanceToCamp[CP_Pcode],0)-1,0,1,1),"")</f>
        <v/>
      </c>
      <c r="AE88" s="227" t="str">
        <f ca="1">IFERROR(OFFSET(DistanceToCamp[distance],MATCH(CampList[[#This Row],[CP_Pcode]],DistanceToCamp[CP_Pcode],0)-1,0,1,1),"")</f>
        <v/>
      </c>
      <c r="AF88" s="228" t="str">
        <f ca="1">IFERROR(INT(CampList[[#This Row],[Distance]]/5)+1,"")</f>
        <v/>
      </c>
    </row>
    <row r="89" spans="2:32" ht="15.75" hidden="1" customHeight="1" x14ac:dyDescent="0.3">
      <c r="B89" s="218" t="s">
        <v>775</v>
      </c>
      <c r="C89" s="212" t="s">
        <v>378</v>
      </c>
      <c r="D89" s="212" t="s">
        <v>478</v>
      </c>
      <c r="E89" s="212" t="s">
        <v>180</v>
      </c>
      <c r="F89" s="212" t="s">
        <v>479</v>
      </c>
      <c r="G89" s="212" t="s">
        <v>480</v>
      </c>
      <c r="H89" s="212" t="s">
        <v>481</v>
      </c>
      <c r="I89" s="212"/>
      <c r="J89" s="212"/>
      <c r="K89" s="212"/>
      <c r="L89" s="212"/>
      <c r="M89" s="212" t="s">
        <v>70</v>
      </c>
      <c r="N89" s="212" t="s">
        <v>69</v>
      </c>
      <c r="O89" s="219"/>
      <c r="P89" s="219"/>
      <c r="Q89" s="233"/>
      <c r="R89" s="302"/>
      <c r="S89" s="303"/>
      <c r="T89" s="222" t="str">
        <f>IF(CampList[[#This Row],[HH]]&gt;0,CampList[[#This Row],[Total]]/CampList[[#This Row],[HH]],"NA")</f>
        <v>NA</v>
      </c>
      <c r="U89" s="214" t="s">
        <v>464</v>
      </c>
      <c r="V89" s="214" t="s">
        <v>995</v>
      </c>
      <c r="W89" s="214" t="s">
        <v>507</v>
      </c>
      <c r="X89" s="214"/>
      <c r="Y89" s="234"/>
      <c r="Z89" s="224"/>
      <c r="AA89" s="239"/>
      <c r="AB89" s="243"/>
      <c r="AC89" s="218" t="s">
        <v>541</v>
      </c>
      <c r="AD89" s="214" t="str">
        <f ca="1">IFERROR(OFFSET(DistanceToCamp[Nearest Town],MATCH(CampList[[#This Row],[CP_Pcode]],DistanceToCamp[CP_Pcode],0)-1,0,1,1),"")</f>
        <v/>
      </c>
      <c r="AE89" s="227" t="str">
        <f ca="1">IFERROR(OFFSET(DistanceToCamp[distance],MATCH(CampList[[#This Row],[CP_Pcode]],DistanceToCamp[CP_Pcode],0)-1,0,1,1),"")</f>
        <v/>
      </c>
      <c r="AF89" s="228" t="str">
        <f ca="1">IFERROR(INT(CampList[[#This Row],[Distance]]/5)+1,"")</f>
        <v/>
      </c>
    </row>
    <row r="90" spans="2:32" ht="15.75" hidden="1" customHeight="1" x14ac:dyDescent="0.3">
      <c r="B90" s="218" t="s">
        <v>775</v>
      </c>
      <c r="C90" s="212" t="s">
        <v>378</v>
      </c>
      <c r="D90" s="212" t="s">
        <v>478</v>
      </c>
      <c r="E90" s="212" t="s">
        <v>180</v>
      </c>
      <c r="F90" s="212" t="s">
        <v>479</v>
      </c>
      <c r="G90" s="212" t="s">
        <v>480</v>
      </c>
      <c r="H90" s="212" t="s">
        <v>481</v>
      </c>
      <c r="I90" s="226" t="s">
        <v>543</v>
      </c>
      <c r="J90" s="226" t="s">
        <v>544</v>
      </c>
      <c r="K90" s="226" t="s">
        <v>547</v>
      </c>
      <c r="L90" s="226" t="s">
        <v>548</v>
      </c>
      <c r="M90" s="212" t="s">
        <v>104</v>
      </c>
      <c r="N90" s="212" t="s">
        <v>103</v>
      </c>
      <c r="O90" s="219"/>
      <c r="P90" s="219"/>
      <c r="Q90" s="233"/>
      <c r="R90" s="302">
        <v>0</v>
      </c>
      <c r="S90" s="303">
        <v>0</v>
      </c>
      <c r="T90" s="222" t="str">
        <f>IF(CampList[[#This Row],[HH]]&gt;0,CampList[[#This Row],[Total]]/CampList[[#This Row],[HH]],"NA")</f>
        <v>NA</v>
      </c>
      <c r="U90" s="214" t="s">
        <v>464</v>
      </c>
      <c r="V90" s="214" t="s">
        <v>995</v>
      </c>
      <c r="W90" s="214" t="s">
        <v>507</v>
      </c>
      <c r="X90" s="214"/>
      <c r="Y90" s="234"/>
      <c r="Z90" s="224"/>
      <c r="AA90" s="239"/>
      <c r="AB90" s="243"/>
      <c r="AC90" s="218" t="s">
        <v>541</v>
      </c>
      <c r="AD90" s="214" t="str">
        <f ca="1">IFERROR(OFFSET(DistanceToCamp[Nearest Town],MATCH(CampList[[#This Row],[CP_Pcode]],DistanceToCamp[CP_Pcode],0)-1,0,1,1),"")</f>
        <v/>
      </c>
      <c r="AE90" s="227" t="str">
        <f ca="1">IFERROR(OFFSET(DistanceToCamp[distance],MATCH(CampList[[#This Row],[CP_Pcode]],DistanceToCamp[CP_Pcode],0)-1,0,1,1),"")</f>
        <v/>
      </c>
      <c r="AF90" s="228" t="str">
        <f ca="1">IFERROR(INT(CampList[[#This Row],[Distance]]/5)+1,"")</f>
        <v/>
      </c>
    </row>
    <row r="91" spans="2:32" ht="15.75" hidden="1" customHeight="1" x14ac:dyDescent="0.3">
      <c r="B91" s="218" t="s">
        <v>775</v>
      </c>
      <c r="C91" s="212" t="s">
        <v>378</v>
      </c>
      <c r="D91" s="212" t="s">
        <v>478</v>
      </c>
      <c r="E91" s="212" t="s">
        <v>180</v>
      </c>
      <c r="F91" s="212" t="s">
        <v>479</v>
      </c>
      <c r="G91" s="212" t="s">
        <v>480</v>
      </c>
      <c r="H91" s="212" t="s">
        <v>481</v>
      </c>
      <c r="I91" s="226" t="s">
        <v>543</v>
      </c>
      <c r="J91" s="226" t="s">
        <v>544</v>
      </c>
      <c r="K91" s="226" t="s">
        <v>547</v>
      </c>
      <c r="L91" s="226" t="s">
        <v>548</v>
      </c>
      <c r="M91" s="212" t="s">
        <v>68</v>
      </c>
      <c r="N91" s="212" t="s">
        <v>67</v>
      </c>
      <c r="O91" s="219"/>
      <c r="P91" s="219"/>
      <c r="Q91" s="233"/>
      <c r="R91" s="302">
        <v>0</v>
      </c>
      <c r="S91" s="303">
        <v>0</v>
      </c>
      <c r="T91" s="222" t="str">
        <f>IF(CampList[[#This Row],[HH]]&gt;0,CampList[[#This Row],[Total]]/CampList[[#This Row],[HH]],"NA")</f>
        <v>NA</v>
      </c>
      <c r="U91" s="214" t="s">
        <v>464</v>
      </c>
      <c r="V91" s="214" t="s">
        <v>995</v>
      </c>
      <c r="W91" s="214" t="s">
        <v>507</v>
      </c>
      <c r="X91" s="214"/>
      <c r="Y91" s="234"/>
      <c r="Z91" s="224"/>
      <c r="AA91" s="239"/>
      <c r="AB91" s="243"/>
      <c r="AC91" s="218" t="s">
        <v>541</v>
      </c>
      <c r="AD91" s="214" t="str">
        <f ca="1">IFERROR(OFFSET(DistanceToCamp[Nearest Town],MATCH(CampList[[#This Row],[CP_Pcode]],DistanceToCamp[CP_Pcode],0)-1,0,1,1),"")</f>
        <v/>
      </c>
      <c r="AE91" s="227" t="str">
        <f ca="1">IFERROR(OFFSET(DistanceToCamp[distance],MATCH(CampList[[#This Row],[CP_Pcode]],DistanceToCamp[CP_Pcode],0)-1,0,1,1),"")</f>
        <v/>
      </c>
      <c r="AF91" s="228" t="str">
        <f ca="1">IFERROR(INT(CampList[[#This Row],[Distance]]/5)+1,"")</f>
        <v/>
      </c>
    </row>
    <row r="92" spans="2:32" ht="15.75" customHeight="1" x14ac:dyDescent="0.3">
      <c r="B92" s="218" t="s">
        <v>460</v>
      </c>
      <c r="C92" s="212" t="s">
        <v>378</v>
      </c>
      <c r="D92" s="212" t="s">
        <v>478</v>
      </c>
      <c r="E92" s="212" t="s">
        <v>180</v>
      </c>
      <c r="F92" s="212" t="s">
        <v>479</v>
      </c>
      <c r="G92" s="212" t="s">
        <v>480</v>
      </c>
      <c r="H92" s="212" t="s">
        <v>481</v>
      </c>
      <c r="I92" s="226" t="s">
        <v>543</v>
      </c>
      <c r="J92" s="226" t="s">
        <v>544</v>
      </c>
      <c r="K92" s="226" t="s">
        <v>547</v>
      </c>
      <c r="L92" s="226" t="s">
        <v>548</v>
      </c>
      <c r="M92" s="212" t="s">
        <v>100</v>
      </c>
      <c r="N92" s="212" t="s">
        <v>99</v>
      </c>
      <c r="O92" s="219">
        <v>96.319829999999996</v>
      </c>
      <c r="P92" s="219">
        <v>25.6145</v>
      </c>
      <c r="Q92" s="220">
        <v>65</v>
      </c>
      <c r="R92" s="292">
        <v>4</v>
      </c>
      <c r="S92" s="292">
        <v>15</v>
      </c>
      <c r="T92" s="222">
        <f>IF(CampList[[#This Row],[HH]]&gt;0,CampList[[#This Row],[Total]]/CampList[[#This Row],[HH]],"NA")</f>
        <v>3.75</v>
      </c>
      <c r="U92" s="214" t="s">
        <v>464</v>
      </c>
      <c r="V92" s="214" t="s">
        <v>995</v>
      </c>
      <c r="W92" s="214" t="s">
        <v>1391</v>
      </c>
      <c r="X92" s="214" t="s">
        <v>742</v>
      </c>
      <c r="Y92" s="331">
        <v>41122</v>
      </c>
      <c r="Z92" s="223" t="s">
        <v>1322</v>
      </c>
      <c r="AA92" s="239" t="s">
        <v>774</v>
      </c>
      <c r="AB92" s="225">
        <v>43220</v>
      </c>
      <c r="AC92" s="218" t="s">
        <v>1667</v>
      </c>
      <c r="AD92" s="214" t="str">
        <f ca="1">IFERROR(OFFSET(DistanceToCamp[Nearest Town],MATCH(CampList[[#This Row],[CP_Pcode]],DistanceToCamp[CP_Pcode],0)-1,0,1,1),"")</f>
        <v>Hpakant Town</v>
      </c>
      <c r="AE92" s="227">
        <f ca="1">IFERROR(OFFSET(DistanceToCamp[distance],MATCH(CampList[[#This Row],[CP_Pcode]],DistanceToCamp[CP_Pcode],0)-1,0,1,1),"")</f>
        <v>0.79577754007276646</v>
      </c>
      <c r="AF92" s="228">
        <f ca="1">IFERROR(INT(CampList[[#This Row],[Distance]]/5)+1,"")</f>
        <v>1</v>
      </c>
    </row>
    <row r="93" spans="2:32" ht="15.75" hidden="1" customHeight="1" x14ac:dyDescent="0.3">
      <c r="B93" s="218" t="s">
        <v>775</v>
      </c>
      <c r="C93" s="212" t="s">
        <v>378</v>
      </c>
      <c r="D93" s="212" t="s">
        <v>478</v>
      </c>
      <c r="E93" s="212" t="s">
        <v>180</v>
      </c>
      <c r="F93" s="212" t="s">
        <v>479</v>
      </c>
      <c r="G93" s="212" t="s">
        <v>480</v>
      </c>
      <c r="H93" s="212" t="s">
        <v>481</v>
      </c>
      <c r="I93" s="226" t="s">
        <v>543</v>
      </c>
      <c r="J93" s="226" t="s">
        <v>544</v>
      </c>
      <c r="K93" s="226" t="s">
        <v>639</v>
      </c>
      <c r="L93" s="226" t="s">
        <v>640</v>
      </c>
      <c r="M93" s="212" t="s">
        <v>50</v>
      </c>
      <c r="N93" s="212" t="s">
        <v>49</v>
      </c>
      <c r="O93" s="219"/>
      <c r="P93" s="219"/>
      <c r="Q93" s="233"/>
      <c r="R93" s="302"/>
      <c r="S93" s="303"/>
      <c r="T93" s="222" t="str">
        <f>IF(CampList[[#This Row],[HH]]&gt;0,CampList[[#This Row],[Total]]/CampList[[#This Row],[HH]],"NA")</f>
        <v>NA</v>
      </c>
      <c r="U93" s="214" t="s">
        <v>464</v>
      </c>
      <c r="V93" s="214" t="s">
        <v>995</v>
      </c>
      <c r="W93" s="214" t="s">
        <v>507</v>
      </c>
      <c r="X93" s="214"/>
      <c r="Y93" s="234"/>
      <c r="Z93" s="224"/>
      <c r="AA93" s="239"/>
      <c r="AB93" s="243"/>
      <c r="AC93" s="218" t="s">
        <v>541</v>
      </c>
      <c r="AD93" s="214" t="str">
        <f ca="1">IFERROR(OFFSET(DistanceToCamp[Nearest Town],MATCH(CampList[[#This Row],[CP_Pcode]],DistanceToCamp[CP_Pcode],0)-1,0,1,1),"")</f>
        <v/>
      </c>
      <c r="AE93" s="227" t="str">
        <f ca="1">IFERROR(OFFSET(DistanceToCamp[distance],MATCH(CampList[[#This Row],[CP_Pcode]],DistanceToCamp[CP_Pcode],0)-1,0,1,1),"")</f>
        <v/>
      </c>
      <c r="AF93" s="228" t="str">
        <f ca="1">IFERROR(INT(CampList[[#This Row],[Distance]]/5)+1,"")</f>
        <v/>
      </c>
    </row>
    <row r="94" spans="2:32" ht="15.75" hidden="1" customHeight="1" x14ac:dyDescent="0.3">
      <c r="B94" s="218" t="s">
        <v>775</v>
      </c>
      <c r="C94" s="212" t="s">
        <v>378</v>
      </c>
      <c r="D94" s="212" t="s">
        <v>478</v>
      </c>
      <c r="E94" s="212" t="s">
        <v>180</v>
      </c>
      <c r="F94" s="212" t="s">
        <v>479</v>
      </c>
      <c r="G94" s="212" t="s">
        <v>480</v>
      </c>
      <c r="H94" s="212" t="s">
        <v>481</v>
      </c>
      <c r="I94" s="226" t="s">
        <v>543</v>
      </c>
      <c r="J94" s="226" t="s">
        <v>544</v>
      </c>
      <c r="K94" s="226" t="s">
        <v>641</v>
      </c>
      <c r="L94" s="226" t="s">
        <v>642</v>
      </c>
      <c r="M94" s="212" t="s">
        <v>66</v>
      </c>
      <c r="N94" s="212" t="s">
        <v>65</v>
      </c>
      <c r="O94" s="219"/>
      <c r="P94" s="219"/>
      <c r="Q94" s="233"/>
      <c r="R94" s="302">
        <v>0</v>
      </c>
      <c r="S94" s="303">
        <v>0</v>
      </c>
      <c r="T94" s="222" t="str">
        <f>IF(CampList[[#This Row],[HH]]&gt;0,CampList[[#This Row],[Total]]/CampList[[#This Row],[HH]],"NA")</f>
        <v>NA</v>
      </c>
      <c r="U94" s="214" t="s">
        <v>464</v>
      </c>
      <c r="V94" s="214" t="s">
        <v>995</v>
      </c>
      <c r="W94" s="214" t="s">
        <v>507</v>
      </c>
      <c r="X94" s="214"/>
      <c r="Y94" s="234"/>
      <c r="Z94" s="224"/>
      <c r="AA94" s="239"/>
      <c r="AB94" s="243"/>
      <c r="AC94" s="218" t="s">
        <v>541</v>
      </c>
      <c r="AD94" s="214" t="str">
        <f ca="1">IFERROR(OFFSET(DistanceToCamp[Nearest Town],MATCH(CampList[[#This Row],[CP_Pcode]],DistanceToCamp[CP_Pcode],0)-1,0,1,1),"")</f>
        <v/>
      </c>
      <c r="AE94" s="227" t="str">
        <f ca="1">IFERROR(OFFSET(DistanceToCamp[distance],MATCH(CampList[[#This Row],[CP_Pcode]],DistanceToCamp[CP_Pcode],0)-1,0,1,1),"")</f>
        <v/>
      </c>
      <c r="AF94" s="228" t="str">
        <f ca="1">IFERROR(INT(CampList[[#This Row],[Distance]]/5)+1,"")</f>
        <v/>
      </c>
    </row>
    <row r="95" spans="2:32" ht="15.75" hidden="1" customHeight="1" x14ac:dyDescent="0.3">
      <c r="B95" s="218" t="s">
        <v>775</v>
      </c>
      <c r="C95" s="212" t="s">
        <v>506</v>
      </c>
      <c r="D95" s="212" t="s">
        <v>489</v>
      </c>
      <c r="E95" s="212" t="s">
        <v>230</v>
      </c>
      <c r="F95" s="212" t="s">
        <v>490</v>
      </c>
      <c r="G95" s="212" t="s">
        <v>230</v>
      </c>
      <c r="H95" s="212" t="s">
        <v>491</v>
      </c>
      <c r="I95" s="212" t="s">
        <v>235</v>
      </c>
      <c r="J95" s="212" t="s">
        <v>962</v>
      </c>
      <c r="K95" s="212" t="s">
        <v>235</v>
      </c>
      <c r="L95" s="212"/>
      <c r="M95" s="212" t="s">
        <v>235</v>
      </c>
      <c r="N95" s="212" t="s">
        <v>234</v>
      </c>
      <c r="O95" s="219">
        <v>98.054946000000001</v>
      </c>
      <c r="P95" s="219">
        <v>24.008452999999999</v>
      </c>
      <c r="Q95" s="233">
        <v>3396</v>
      </c>
      <c r="R95" s="196"/>
      <c r="S95" s="310"/>
      <c r="T95" s="222" t="str">
        <f>IF(CampList[[#This Row],[HH]]&gt;0,CampList[[#This Row],[Total]]/CampList[[#This Row],[HH]],"NA")</f>
        <v>NA</v>
      </c>
      <c r="U95" s="214" t="s">
        <v>466</v>
      </c>
      <c r="V95" s="214" t="s">
        <v>995</v>
      </c>
      <c r="W95" s="214" t="s">
        <v>12</v>
      </c>
      <c r="X95" s="214" t="s">
        <v>784</v>
      </c>
      <c r="Y95" s="234"/>
      <c r="Z95" s="224"/>
      <c r="AA95" s="212" t="s">
        <v>522</v>
      </c>
      <c r="AB95" s="225">
        <v>42831</v>
      </c>
      <c r="AC95" s="218" t="s">
        <v>1229</v>
      </c>
      <c r="AD95" s="214" t="str">
        <f ca="1">IFERROR(OFFSET(DistanceToCamp[Nearest Town],MATCH(CampList[[#This Row],[CP_Pcode]],DistanceToCamp[CP_Pcode],0)-1,0,1,1),"")</f>
        <v>Pang Hseng (Kyu Koke) Town</v>
      </c>
      <c r="AE95" s="227">
        <f ca="1">IFERROR(OFFSET(DistanceToCamp[distance],MATCH(CampList[[#This Row],[CP_Pcode]],DistanceToCamp[CP_Pcode],0)-1,0,1,1),"")</f>
        <v>7.490291417449443</v>
      </c>
      <c r="AF95" s="228">
        <f ca="1">IFERROR(INT(CampList[[#This Row],[Distance]]/5)+1,"")</f>
        <v>2</v>
      </c>
    </row>
    <row r="96" spans="2:32" ht="15.75" hidden="1" customHeight="1" x14ac:dyDescent="0.3">
      <c r="B96" s="218" t="s">
        <v>775</v>
      </c>
      <c r="C96" s="212" t="s">
        <v>378</v>
      </c>
      <c r="D96" s="212" t="s">
        <v>478</v>
      </c>
      <c r="E96" s="212" t="s">
        <v>180</v>
      </c>
      <c r="F96" s="212" t="s">
        <v>479</v>
      </c>
      <c r="G96" s="212" t="s">
        <v>480</v>
      </c>
      <c r="H96" s="212" t="s">
        <v>481</v>
      </c>
      <c r="I96" s="226" t="s">
        <v>543</v>
      </c>
      <c r="J96" s="226" t="s">
        <v>544</v>
      </c>
      <c r="K96" s="226" t="s">
        <v>641</v>
      </c>
      <c r="L96" s="226" t="s">
        <v>642</v>
      </c>
      <c r="M96" s="212" t="s">
        <v>54</v>
      </c>
      <c r="N96" s="212" t="s">
        <v>53</v>
      </c>
      <c r="O96" s="219">
        <v>96.310928000000004</v>
      </c>
      <c r="P96" s="219">
        <v>25.609179999999999</v>
      </c>
      <c r="Q96" s="233"/>
      <c r="R96" s="302">
        <v>0</v>
      </c>
      <c r="S96" s="303">
        <v>0</v>
      </c>
      <c r="T96" s="222" t="str">
        <f>IF(CampList[[#This Row],[HH]]&gt;0,CampList[[#This Row],[Total]]/CampList[[#This Row],[HH]],"NA")</f>
        <v>NA</v>
      </c>
      <c r="U96" s="214" t="s">
        <v>464</v>
      </c>
      <c r="V96" s="214" t="s">
        <v>995</v>
      </c>
      <c r="W96" s="214" t="s">
        <v>507</v>
      </c>
      <c r="X96" s="214"/>
      <c r="Y96" s="234"/>
      <c r="Z96" s="224"/>
      <c r="AA96" s="239"/>
      <c r="AB96" s="243"/>
      <c r="AC96" s="218" t="s">
        <v>541</v>
      </c>
      <c r="AD96" s="214" t="str">
        <f ca="1">IFERROR(OFFSET(DistanceToCamp[Nearest Town],MATCH(CampList[[#This Row],[CP_Pcode]],DistanceToCamp[CP_Pcode],0)-1,0,1,1),"")</f>
        <v/>
      </c>
      <c r="AE96" s="227" t="str">
        <f ca="1">IFERROR(OFFSET(DistanceToCamp[distance],MATCH(CampList[[#This Row],[CP_Pcode]],DistanceToCamp[CP_Pcode],0)-1,0,1,1),"")</f>
        <v/>
      </c>
      <c r="AF96" s="228" t="str">
        <f ca="1">IFERROR(INT(CampList[[#This Row],[Distance]]/5)+1,"")</f>
        <v/>
      </c>
    </row>
    <row r="97" spans="2:32" ht="15.75" hidden="1" customHeight="1" x14ac:dyDescent="0.3">
      <c r="B97" s="218" t="s">
        <v>775</v>
      </c>
      <c r="C97" s="212" t="s">
        <v>378</v>
      </c>
      <c r="D97" s="212" t="s">
        <v>478</v>
      </c>
      <c r="E97" s="212" t="s">
        <v>180</v>
      </c>
      <c r="F97" s="212" t="s">
        <v>479</v>
      </c>
      <c r="G97" s="212" t="s">
        <v>480</v>
      </c>
      <c r="H97" s="212" t="s">
        <v>481</v>
      </c>
      <c r="I97" s="226" t="s">
        <v>543</v>
      </c>
      <c r="J97" s="226" t="s">
        <v>544</v>
      </c>
      <c r="K97" s="226" t="s">
        <v>641</v>
      </c>
      <c r="L97" s="226" t="s">
        <v>642</v>
      </c>
      <c r="M97" s="212" t="s">
        <v>116</v>
      </c>
      <c r="N97" s="212" t="s">
        <v>115</v>
      </c>
      <c r="O97" s="219"/>
      <c r="P97" s="219"/>
      <c r="Q97" s="233"/>
      <c r="R97" s="302">
        <v>0</v>
      </c>
      <c r="S97" s="303">
        <v>0</v>
      </c>
      <c r="T97" s="222" t="str">
        <f>IF(CampList[[#This Row],[HH]]&gt;0,CampList[[#This Row],[Total]]/CampList[[#This Row],[HH]],"NA")</f>
        <v>NA</v>
      </c>
      <c r="U97" s="214" t="s">
        <v>464</v>
      </c>
      <c r="V97" s="214" t="s">
        <v>995</v>
      </c>
      <c r="W97" s="214" t="s">
        <v>507</v>
      </c>
      <c r="X97" s="214"/>
      <c r="Y97" s="234"/>
      <c r="Z97" s="224"/>
      <c r="AA97" s="239"/>
      <c r="AB97" s="243"/>
      <c r="AC97" s="218" t="s">
        <v>541</v>
      </c>
      <c r="AD97" s="214" t="str">
        <f ca="1">IFERROR(OFFSET(DistanceToCamp[Nearest Town],MATCH(CampList[[#This Row],[CP_Pcode]],DistanceToCamp[CP_Pcode],0)-1,0,1,1),"")</f>
        <v/>
      </c>
      <c r="AE97" s="227" t="str">
        <f ca="1">IFERROR(OFFSET(DistanceToCamp[distance],MATCH(CampList[[#This Row],[CP_Pcode]],DistanceToCamp[CP_Pcode],0)-1,0,1,1),"")</f>
        <v/>
      </c>
      <c r="AF97" s="228" t="str">
        <f ca="1">IFERROR(INT(CampList[[#This Row],[Distance]]/5)+1,"")</f>
        <v/>
      </c>
    </row>
    <row r="98" spans="2:32" ht="15.75" hidden="1" customHeight="1" x14ac:dyDescent="0.3">
      <c r="B98" s="218" t="s">
        <v>775</v>
      </c>
      <c r="C98" s="212" t="s">
        <v>378</v>
      </c>
      <c r="D98" s="212" t="s">
        <v>478</v>
      </c>
      <c r="E98" s="212" t="s">
        <v>180</v>
      </c>
      <c r="F98" s="212" t="s">
        <v>479</v>
      </c>
      <c r="G98" s="212" t="s">
        <v>480</v>
      </c>
      <c r="H98" s="212" t="s">
        <v>481</v>
      </c>
      <c r="I98" s="226" t="s">
        <v>543</v>
      </c>
      <c r="J98" s="226" t="s">
        <v>544</v>
      </c>
      <c r="K98" s="226" t="s">
        <v>641</v>
      </c>
      <c r="L98" s="226" t="s">
        <v>642</v>
      </c>
      <c r="M98" s="212" t="s">
        <v>80</v>
      </c>
      <c r="N98" s="212" t="s">
        <v>79</v>
      </c>
      <c r="O98" s="219"/>
      <c r="P98" s="219"/>
      <c r="Q98" s="233"/>
      <c r="R98" s="302">
        <v>0</v>
      </c>
      <c r="S98" s="303">
        <v>0</v>
      </c>
      <c r="T98" s="222" t="str">
        <f>IF(CampList[[#This Row],[HH]]&gt;0,CampList[[#This Row],[Total]]/CampList[[#This Row],[HH]],"NA")</f>
        <v>NA</v>
      </c>
      <c r="U98" s="214" t="s">
        <v>464</v>
      </c>
      <c r="V98" s="214" t="s">
        <v>995</v>
      </c>
      <c r="W98" s="214" t="s">
        <v>507</v>
      </c>
      <c r="X98" s="214"/>
      <c r="Y98" s="234"/>
      <c r="Z98" s="224"/>
      <c r="AA98" s="239"/>
      <c r="AB98" s="243"/>
      <c r="AC98" s="218" t="s">
        <v>541</v>
      </c>
      <c r="AD98" s="214" t="str">
        <f ca="1">IFERROR(OFFSET(DistanceToCamp[Nearest Town],MATCH(CampList[[#This Row],[CP_Pcode]],DistanceToCamp[CP_Pcode],0)-1,0,1,1),"")</f>
        <v/>
      </c>
      <c r="AE98" s="227" t="str">
        <f ca="1">IFERROR(OFFSET(DistanceToCamp[distance],MATCH(CampList[[#This Row],[CP_Pcode]],DistanceToCamp[CP_Pcode],0)-1,0,1,1),"")</f>
        <v/>
      </c>
      <c r="AF98" s="228" t="str">
        <f ca="1">IFERROR(INT(CampList[[#This Row],[Distance]]/5)+1,"")</f>
        <v/>
      </c>
    </row>
    <row r="99" spans="2:32" ht="15.75" hidden="1" customHeight="1" x14ac:dyDescent="0.3">
      <c r="B99" s="218" t="s">
        <v>775</v>
      </c>
      <c r="C99" s="212" t="s">
        <v>378</v>
      </c>
      <c r="D99" s="212" t="s">
        <v>478</v>
      </c>
      <c r="E99" s="212" t="s">
        <v>180</v>
      </c>
      <c r="F99" s="212" t="s">
        <v>479</v>
      </c>
      <c r="G99" s="212" t="s">
        <v>480</v>
      </c>
      <c r="H99" s="212" t="s">
        <v>481</v>
      </c>
      <c r="I99" s="226" t="s">
        <v>543</v>
      </c>
      <c r="J99" s="226" t="s">
        <v>544</v>
      </c>
      <c r="K99" s="226" t="s">
        <v>641</v>
      </c>
      <c r="L99" s="226" t="s">
        <v>642</v>
      </c>
      <c r="M99" s="212" t="s">
        <v>138</v>
      </c>
      <c r="N99" s="212" t="s">
        <v>137</v>
      </c>
      <c r="O99" s="219"/>
      <c r="P99" s="219"/>
      <c r="Q99" s="233"/>
      <c r="R99" s="302">
        <v>0</v>
      </c>
      <c r="S99" s="303">
        <v>0</v>
      </c>
      <c r="T99" s="222" t="str">
        <f>IF(CampList[[#This Row],[HH]]&gt;0,CampList[[#This Row],[Total]]/CampList[[#This Row],[HH]],"NA")</f>
        <v>NA</v>
      </c>
      <c r="U99" s="214" t="s">
        <v>464</v>
      </c>
      <c r="V99" s="214" t="s">
        <v>995</v>
      </c>
      <c r="W99" s="214" t="s">
        <v>507</v>
      </c>
      <c r="X99" s="214"/>
      <c r="Y99" s="234"/>
      <c r="Z99" s="224"/>
      <c r="AA99" s="239"/>
      <c r="AB99" s="243"/>
      <c r="AC99" s="218" t="s">
        <v>541</v>
      </c>
      <c r="AD99" s="214" t="str">
        <f ca="1">IFERROR(OFFSET(DistanceToCamp[Nearest Town],MATCH(CampList[[#This Row],[CP_Pcode]],DistanceToCamp[CP_Pcode],0)-1,0,1,1),"")</f>
        <v/>
      </c>
      <c r="AE99" s="227" t="str">
        <f ca="1">IFERROR(OFFSET(DistanceToCamp[distance],MATCH(CampList[[#This Row],[CP_Pcode]],DistanceToCamp[CP_Pcode],0)-1,0,1,1),"")</f>
        <v/>
      </c>
      <c r="AF99" s="228" t="str">
        <f ca="1">IFERROR(INT(CampList[[#This Row],[Distance]]/5)+1,"")</f>
        <v/>
      </c>
    </row>
    <row r="100" spans="2:32" ht="15.75" hidden="1" customHeight="1" x14ac:dyDescent="0.3">
      <c r="B100" s="218" t="s">
        <v>775</v>
      </c>
      <c r="C100" s="212" t="s">
        <v>378</v>
      </c>
      <c r="D100" s="212" t="s">
        <v>478</v>
      </c>
      <c r="E100" s="212" t="s">
        <v>180</v>
      </c>
      <c r="F100" s="212" t="s">
        <v>479</v>
      </c>
      <c r="G100" s="212" t="s">
        <v>480</v>
      </c>
      <c r="H100" s="212" t="s">
        <v>481</v>
      </c>
      <c r="I100" s="226" t="s">
        <v>543</v>
      </c>
      <c r="J100" s="226" t="s">
        <v>544</v>
      </c>
      <c r="K100" s="226" t="s">
        <v>641</v>
      </c>
      <c r="L100" s="226" t="s">
        <v>642</v>
      </c>
      <c r="M100" s="212" t="s">
        <v>102</v>
      </c>
      <c r="N100" s="212" t="s">
        <v>101</v>
      </c>
      <c r="O100" s="219"/>
      <c r="P100" s="219"/>
      <c r="Q100" s="233"/>
      <c r="R100" s="302">
        <v>0</v>
      </c>
      <c r="S100" s="303">
        <v>0</v>
      </c>
      <c r="T100" s="222" t="str">
        <f>IF(CampList[[#This Row],[HH]]&gt;0,CampList[[#This Row],[Total]]/CampList[[#This Row],[HH]],"NA")</f>
        <v>NA</v>
      </c>
      <c r="U100" s="214" t="s">
        <v>464</v>
      </c>
      <c r="V100" s="214" t="s">
        <v>995</v>
      </c>
      <c r="W100" s="214" t="s">
        <v>507</v>
      </c>
      <c r="X100" s="214"/>
      <c r="Y100" s="234"/>
      <c r="Z100" s="224"/>
      <c r="AA100" s="239"/>
      <c r="AB100" s="243"/>
      <c r="AC100" s="218" t="s">
        <v>541</v>
      </c>
      <c r="AD100" s="214" t="str">
        <f ca="1">IFERROR(OFFSET(DistanceToCamp[Nearest Town],MATCH(CampList[[#This Row],[CP_Pcode]],DistanceToCamp[CP_Pcode],0)-1,0,1,1),"")</f>
        <v/>
      </c>
      <c r="AE100" s="227" t="str">
        <f ca="1">IFERROR(OFFSET(DistanceToCamp[distance],MATCH(CampList[[#This Row],[CP_Pcode]],DistanceToCamp[CP_Pcode],0)-1,0,1,1),"")</f>
        <v/>
      </c>
      <c r="AF100" s="228" t="str">
        <f ca="1">IFERROR(INT(CampList[[#This Row],[Distance]]/5)+1,"")</f>
        <v/>
      </c>
    </row>
    <row r="101" spans="2:32" ht="15.75" hidden="1" customHeight="1" x14ac:dyDescent="0.3">
      <c r="B101" s="218" t="s">
        <v>775</v>
      </c>
      <c r="C101" s="212" t="s">
        <v>378</v>
      </c>
      <c r="D101" s="212" t="s">
        <v>478</v>
      </c>
      <c r="E101" s="212" t="s">
        <v>180</v>
      </c>
      <c r="F101" s="212" t="s">
        <v>479</v>
      </c>
      <c r="G101" s="212" t="s">
        <v>480</v>
      </c>
      <c r="H101" s="212" t="s">
        <v>481</v>
      </c>
      <c r="I101" s="226" t="s">
        <v>543</v>
      </c>
      <c r="J101" s="226" t="s">
        <v>544</v>
      </c>
      <c r="K101" s="226" t="s">
        <v>641</v>
      </c>
      <c r="L101" s="226" t="s">
        <v>642</v>
      </c>
      <c r="M101" s="212" t="s">
        <v>106</v>
      </c>
      <c r="N101" s="212" t="s">
        <v>105</v>
      </c>
      <c r="O101" s="219"/>
      <c r="P101" s="219"/>
      <c r="Q101" s="233"/>
      <c r="R101" s="302">
        <v>0</v>
      </c>
      <c r="S101" s="303">
        <v>0</v>
      </c>
      <c r="T101" s="222" t="str">
        <f>IF(CampList[[#This Row],[HH]]&gt;0,CampList[[#This Row],[Total]]/CampList[[#This Row],[HH]],"NA")</f>
        <v>NA</v>
      </c>
      <c r="U101" s="214" t="s">
        <v>464</v>
      </c>
      <c r="V101" s="214" t="s">
        <v>995</v>
      </c>
      <c r="W101" s="214" t="s">
        <v>507</v>
      </c>
      <c r="X101" s="214"/>
      <c r="Y101" s="234"/>
      <c r="Z101" s="224"/>
      <c r="AA101" s="239"/>
      <c r="AB101" s="243"/>
      <c r="AC101" s="218" t="s">
        <v>541</v>
      </c>
      <c r="AD101" s="214" t="str">
        <f ca="1">IFERROR(OFFSET(DistanceToCamp[Nearest Town],MATCH(CampList[[#This Row],[CP_Pcode]],DistanceToCamp[CP_Pcode],0)-1,0,1,1),"")</f>
        <v/>
      </c>
      <c r="AE101" s="227" t="str">
        <f ca="1">IFERROR(OFFSET(DistanceToCamp[distance],MATCH(CampList[[#This Row],[CP_Pcode]],DistanceToCamp[CP_Pcode],0)-1,0,1,1),"")</f>
        <v/>
      </c>
      <c r="AF101" s="228" t="str">
        <f ca="1">IFERROR(INT(CampList[[#This Row],[Distance]]/5)+1,"")</f>
        <v/>
      </c>
    </row>
    <row r="102" spans="2:32" ht="15.75" hidden="1" customHeight="1" x14ac:dyDescent="0.3">
      <c r="B102" s="218" t="s">
        <v>775</v>
      </c>
      <c r="C102" s="212" t="s">
        <v>506</v>
      </c>
      <c r="D102" s="212" t="s">
        <v>489</v>
      </c>
      <c r="E102" s="212" t="s">
        <v>230</v>
      </c>
      <c r="F102" s="212" t="s">
        <v>495</v>
      </c>
      <c r="G102" s="212" t="s">
        <v>230</v>
      </c>
      <c r="H102" s="212" t="s">
        <v>496</v>
      </c>
      <c r="I102" s="212" t="s">
        <v>921</v>
      </c>
      <c r="J102" s="212" t="s">
        <v>922</v>
      </c>
      <c r="K102" s="212" t="s">
        <v>923</v>
      </c>
      <c r="L102" s="212"/>
      <c r="M102" s="212" t="s">
        <v>169</v>
      </c>
      <c r="N102" s="212" t="s">
        <v>168</v>
      </c>
      <c r="O102" s="219">
        <v>98.116817999999995</v>
      </c>
      <c r="P102" s="219">
        <v>23.917631</v>
      </c>
      <c r="Q102" s="233"/>
      <c r="R102" s="302"/>
      <c r="S102" s="303"/>
      <c r="T102" s="222" t="str">
        <f>IF(CampList[[#This Row],[HH]]&gt;0,CampList[[#This Row],[Total]]/CampList[[#This Row],[HH]],"NA")</f>
        <v>NA</v>
      </c>
      <c r="U102" s="214" t="s">
        <v>464</v>
      </c>
      <c r="V102" s="214" t="s">
        <v>995</v>
      </c>
      <c r="W102" s="214" t="s">
        <v>12</v>
      </c>
      <c r="X102" s="214" t="s">
        <v>784</v>
      </c>
      <c r="Y102" s="234"/>
      <c r="Z102" s="224"/>
      <c r="AA102" s="239" t="s">
        <v>774</v>
      </c>
      <c r="AB102" s="225">
        <v>42831</v>
      </c>
      <c r="AC102" s="218" t="s">
        <v>1228</v>
      </c>
      <c r="AD102" s="214" t="str">
        <f ca="1">IFERROR(OFFSET(DistanceToCamp[Nearest Town],MATCH(CampList[[#This Row],[CP_Pcode]],DistanceToCamp[CP_Pcode],0)-1,0,1,1),"")</f>
        <v>Pang Hseng (Kyu Koke) Town</v>
      </c>
      <c r="AE102" s="227">
        <f ca="1">IFERROR(OFFSET(DistanceToCamp[distance],MATCH(CampList[[#This Row],[CP_Pcode]],DistanceToCamp[CP_Pcode],0)-1,0,1,1),"")</f>
        <v>18.405283544772924</v>
      </c>
      <c r="AF102" s="228">
        <f ca="1">IFERROR(INT(CampList[[#This Row],[Distance]]/5)+1,"")</f>
        <v>4</v>
      </c>
    </row>
    <row r="103" spans="2:32" ht="15.75" hidden="1" customHeight="1" x14ac:dyDescent="0.3">
      <c r="B103" s="218" t="s">
        <v>775</v>
      </c>
      <c r="C103" s="212" t="s">
        <v>378</v>
      </c>
      <c r="D103" s="212" t="s">
        <v>478</v>
      </c>
      <c r="E103" s="212" t="s">
        <v>180</v>
      </c>
      <c r="F103" s="212" t="s">
        <v>479</v>
      </c>
      <c r="G103" s="212" t="s">
        <v>480</v>
      </c>
      <c r="H103" s="212" t="s">
        <v>481</v>
      </c>
      <c r="I103" s="226" t="s">
        <v>543</v>
      </c>
      <c r="J103" s="226" t="s">
        <v>544</v>
      </c>
      <c r="K103" s="226" t="s">
        <v>641</v>
      </c>
      <c r="L103" s="226" t="s">
        <v>642</v>
      </c>
      <c r="M103" s="212" t="s">
        <v>130</v>
      </c>
      <c r="N103" s="212" t="s">
        <v>129</v>
      </c>
      <c r="O103" s="219"/>
      <c r="P103" s="219"/>
      <c r="Q103" s="233"/>
      <c r="R103" s="302">
        <v>0</v>
      </c>
      <c r="S103" s="303">
        <v>0</v>
      </c>
      <c r="T103" s="222" t="str">
        <f>IF(CampList[[#This Row],[HH]]&gt;0,CampList[[#This Row],[Total]]/CampList[[#This Row],[HH]],"NA")</f>
        <v>NA</v>
      </c>
      <c r="U103" s="214" t="s">
        <v>464</v>
      </c>
      <c r="V103" s="214" t="s">
        <v>995</v>
      </c>
      <c r="W103" s="214" t="s">
        <v>507</v>
      </c>
      <c r="X103" s="214"/>
      <c r="Y103" s="234"/>
      <c r="Z103" s="224"/>
      <c r="AA103" s="239"/>
      <c r="AB103" s="243"/>
      <c r="AC103" s="218" t="s">
        <v>541</v>
      </c>
      <c r="AD103" s="214" t="str">
        <f ca="1">IFERROR(OFFSET(DistanceToCamp[Nearest Town],MATCH(CampList[[#This Row],[CP_Pcode]],DistanceToCamp[CP_Pcode],0)-1,0,1,1),"")</f>
        <v/>
      </c>
      <c r="AE103" s="227" t="str">
        <f ca="1">IFERROR(OFFSET(DistanceToCamp[distance],MATCH(CampList[[#This Row],[CP_Pcode]],DistanceToCamp[CP_Pcode],0)-1,0,1,1),"")</f>
        <v/>
      </c>
      <c r="AF103" s="228" t="str">
        <f ca="1">IFERROR(INT(CampList[[#This Row],[Distance]]/5)+1,"")</f>
        <v/>
      </c>
    </row>
    <row r="104" spans="2:32" ht="15.75" hidden="1" customHeight="1" x14ac:dyDescent="0.3">
      <c r="B104" s="218" t="s">
        <v>775</v>
      </c>
      <c r="C104" s="212" t="s">
        <v>506</v>
      </c>
      <c r="D104" s="212" t="s">
        <v>489</v>
      </c>
      <c r="E104" s="212" t="s">
        <v>230</v>
      </c>
      <c r="F104" s="212" t="s">
        <v>495</v>
      </c>
      <c r="G104" s="212" t="s">
        <v>230</v>
      </c>
      <c r="H104" s="212" t="s">
        <v>496</v>
      </c>
      <c r="I104" s="212" t="s">
        <v>918</v>
      </c>
      <c r="J104" s="212" t="s">
        <v>919</v>
      </c>
      <c r="K104" s="212" t="s">
        <v>920</v>
      </c>
      <c r="L104" s="212">
        <v>208167</v>
      </c>
      <c r="M104" s="212" t="s">
        <v>171</v>
      </c>
      <c r="N104" s="212" t="s">
        <v>170</v>
      </c>
      <c r="O104" s="219">
        <v>98.129380999999995</v>
      </c>
      <c r="P104" s="219">
        <v>23.978088</v>
      </c>
      <c r="Q104" s="233"/>
      <c r="R104" s="302"/>
      <c r="S104" s="303"/>
      <c r="T104" s="222" t="str">
        <f>IF(CampList[[#This Row],[HH]]&gt;0,CampList[[#This Row],[Total]]/CampList[[#This Row],[HH]],"NA")</f>
        <v>NA</v>
      </c>
      <c r="U104" s="214" t="s">
        <v>464</v>
      </c>
      <c r="V104" s="214" t="s">
        <v>995</v>
      </c>
      <c r="W104" s="214" t="s">
        <v>12</v>
      </c>
      <c r="X104" s="214" t="s">
        <v>784</v>
      </c>
      <c r="Y104" s="234"/>
      <c r="Z104" s="224"/>
      <c r="AA104" s="239" t="s">
        <v>774</v>
      </c>
      <c r="AB104" s="225">
        <v>42831</v>
      </c>
      <c r="AC104" s="218" t="s">
        <v>1228</v>
      </c>
      <c r="AD104" s="214" t="str">
        <f ca="1">IFERROR(OFFSET(DistanceToCamp[Nearest Town],MATCH(CampList[[#This Row],[CP_Pcode]],DistanceToCamp[CP_Pcode],0)-1,0,1,1),"")</f>
        <v>Pang Hseng (Kyu Koke) Town</v>
      </c>
      <c r="AE104" s="227">
        <f ca="1">IFERROR(OFFSET(DistanceToCamp[distance],MATCH(CampList[[#This Row],[CP_Pcode]],DistanceToCamp[CP_Pcode],0)-1,0,1,1),"")</f>
        <v>12.794700705104317</v>
      </c>
      <c r="AF104" s="228">
        <f ca="1">IFERROR(INT(CampList[[#This Row],[Distance]]/5)+1,"")</f>
        <v>3</v>
      </c>
    </row>
    <row r="105" spans="2:32" ht="15.75" hidden="1" customHeight="1" x14ac:dyDescent="0.3">
      <c r="B105" s="218" t="s">
        <v>775</v>
      </c>
      <c r="C105" s="212" t="s">
        <v>378</v>
      </c>
      <c r="D105" s="212" t="s">
        <v>478</v>
      </c>
      <c r="E105" s="212" t="s">
        <v>180</v>
      </c>
      <c r="F105" s="212" t="s">
        <v>479</v>
      </c>
      <c r="G105" s="212" t="s">
        <v>480</v>
      </c>
      <c r="H105" s="212" t="s">
        <v>481</v>
      </c>
      <c r="I105" s="226" t="s">
        <v>543</v>
      </c>
      <c r="J105" s="226" t="s">
        <v>544</v>
      </c>
      <c r="K105" s="226" t="s">
        <v>643</v>
      </c>
      <c r="L105" s="226" t="s">
        <v>644</v>
      </c>
      <c r="M105" s="212" t="s">
        <v>134</v>
      </c>
      <c r="N105" s="212" t="s">
        <v>133</v>
      </c>
      <c r="O105" s="219"/>
      <c r="P105" s="219"/>
      <c r="Q105" s="233"/>
      <c r="R105" s="302"/>
      <c r="S105" s="303"/>
      <c r="T105" s="222" t="str">
        <f>IF(CampList[[#This Row],[HH]]&gt;0,CampList[[#This Row],[Total]]/CampList[[#This Row],[HH]],"NA")</f>
        <v>NA</v>
      </c>
      <c r="U105" s="214" t="s">
        <v>464</v>
      </c>
      <c r="V105" s="214" t="s">
        <v>995</v>
      </c>
      <c r="W105" s="214" t="s">
        <v>507</v>
      </c>
      <c r="X105" s="214"/>
      <c r="Y105" s="234"/>
      <c r="Z105" s="224"/>
      <c r="AA105" s="239"/>
      <c r="AB105" s="243"/>
      <c r="AC105" s="218" t="s">
        <v>541</v>
      </c>
      <c r="AD105" s="214" t="str">
        <f ca="1">IFERROR(OFFSET(DistanceToCamp[Nearest Town],MATCH(CampList[[#This Row],[CP_Pcode]],DistanceToCamp[CP_Pcode],0)-1,0,1,1),"")</f>
        <v/>
      </c>
      <c r="AE105" s="227" t="str">
        <f ca="1">IFERROR(OFFSET(DistanceToCamp[distance],MATCH(CampList[[#This Row],[CP_Pcode]],DistanceToCamp[CP_Pcode],0)-1,0,1,1),"")</f>
        <v/>
      </c>
      <c r="AF105" s="228" t="str">
        <f ca="1">IFERROR(INT(CampList[[#This Row],[Distance]]/5)+1,"")</f>
        <v/>
      </c>
    </row>
    <row r="106" spans="2:32" ht="15.75" hidden="1" customHeight="1" x14ac:dyDescent="0.3">
      <c r="B106" s="218" t="s">
        <v>775</v>
      </c>
      <c r="C106" s="212" t="s">
        <v>506</v>
      </c>
      <c r="D106" s="212" t="s">
        <v>489</v>
      </c>
      <c r="E106" s="212" t="s">
        <v>230</v>
      </c>
      <c r="F106" s="212" t="s">
        <v>490</v>
      </c>
      <c r="G106" s="212" t="s">
        <v>230</v>
      </c>
      <c r="H106" s="212" t="s">
        <v>491</v>
      </c>
      <c r="I106" s="240" t="s">
        <v>753</v>
      </c>
      <c r="J106" s="212" t="s">
        <v>1042</v>
      </c>
      <c r="K106" s="240" t="s">
        <v>754</v>
      </c>
      <c r="L106" s="240"/>
      <c r="M106" s="212" t="s">
        <v>233</v>
      </c>
      <c r="N106" s="212" t="s">
        <v>232</v>
      </c>
      <c r="O106" s="219">
        <v>98.320651999999995</v>
      </c>
      <c r="P106" s="219">
        <v>24.101320999999999</v>
      </c>
      <c r="Q106" s="220">
        <v>2979</v>
      </c>
      <c r="R106" s="302"/>
      <c r="S106" s="303"/>
      <c r="T106" s="222" t="str">
        <f>IF(CampList[[#This Row],[HH]]&gt;0,CampList[[#This Row],[Total]]/CampList[[#This Row],[HH]],"NA")</f>
        <v>NA</v>
      </c>
      <c r="U106" s="214" t="s">
        <v>466</v>
      </c>
      <c r="V106" s="214" t="s">
        <v>995</v>
      </c>
      <c r="W106" s="214" t="s">
        <v>507</v>
      </c>
      <c r="X106" s="214" t="s">
        <v>742</v>
      </c>
      <c r="Y106" s="223">
        <v>41091</v>
      </c>
      <c r="Z106" s="223" t="s">
        <v>424</v>
      </c>
      <c r="AA106" s="239" t="s">
        <v>774</v>
      </c>
      <c r="AB106" s="225">
        <v>42536</v>
      </c>
      <c r="AC106" s="218" t="s">
        <v>1115</v>
      </c>
      <c r="AD106" s="214" t="str">
        <f ca="1">IFERROR(OFFSET(DistanceToCamp[Nearest Town],MATCH(CampList[[#This Row],[CP_Pcode]],DistanceToCamp[CP_Pcode],0)-1,0,1,1),"")</f>
        <v>Monekoe Town</v>
      </c>
      <c r="AE106" s="227">
        <f ca="1">IFERROR(OFFSET(DistanceToCamp[distance],MATCH(CampList[[#This Row],[CP_Pcode]],DistanceToCamp[CP_Pcode],0)-1,0,1,1),"")</f>
        <v>1.789574394782699</v>
      </c>
      <c r="AF106" s="228">
        <f ca="1">IFERROR(INT(CampList[[#This Row],[Distance]]/5)+1,"")</f>
        <v>1</v>
      </c>
    </row>
    <row r="107" spans="2:32" ht="15.75" hidden="1" customHeight="1" x14ac:dyDescent="0.3">
      <c r="B107" s="218" t="s">
        <v>775</v>
      </c>
      <c r="C107" s="212" t="s">
        <v>378</v>
      </c>
      <c r="D107" s="212" t="s">
        <v>478</v>
      </c>
      <c r="E107" s="212" t="s">
        <v>180</v>
      </c>
      <c r="F107" s="212" t="s">
        <v>479</v>
      </c>
      <c r="G107" s="212" t="s">
        <v>480</v>
      </c>
      <c r="H107" s="212" t="s">
        <v>481</v>
      </c>
      <c r="I107" s="226" t="s">
        <v>543</v>
      </c>
      <c r="J107" s="226" t="s">
        <v>544</v>
      </c>
      <c r="K107" s="226" t="s">
        <v>643</v>
      </c>
      <c r="L107" s="226" t="s">
        <v>644</v>
      </c>
      <c r="M107" s="212" t="s">
        <v>114</v>
      </c>
      <c r="N107" s="212" t="s">
        <v>113</v>
      </c>
      <c r="O107" s="219"/>
      <c r="P107" s="219"/>
      <c r="Q107" s="233"/>
      <c r="R107" s="302">
        <v>0</v>
      </c>
      <c r="S107" s="303">
        <v>0</v>
      </c>
      <c r="T107" s="222" t="str">
        <f>IF(CampList[[#This Row],[HH]]&gt;0,CampList[[#This Row],[Total]]/CampList[[#This Row],[HH]],"NA")</f>
        <v>NA</v>
      </c>
      <c r="U107" s="214" t="s">
        <v>464</v>
      </c>
      <c r="V107" s="214" t="s">
        <v>995</v>
      </c>
      <c r="W107" s="214" t="s">
        <v>507</v>
      </c>
      <c r="X107" s="214"/>
      <c r="Y107" s="234"/>
      <c r="Z107" s="224"/>
      <c r="AA107" s="239"/>
      <c r="AB107" s="243"/>
      <c r="AC107" s="218" t="s">
        <v>541</v>
      </c>
      <c r="AD107" s="214" t="str">
        <f ca="1">IFERROR(OFFSET(DistanceToCamp[Nearest Town],MATCH(CampList[[#This Row],[CP_Pcode]],DistanceToCamp[CP_Pcode],0)-1,0,1,1),"")</f>
        <v/>
      </c>
      <c r="AE107" s="227" t="str">
        <f ca="1">IFERROR(OFFSET(DistanceToCamp[distance],MATCH(CampList[[#This Row],[CP_Pcode]],DistanceToCamp[CP_Pcode],0)-1,0,1,1),"")</f>
        <v/>
      </c>
      <c r="AF107" s="228" t="str">
        <f ca="1">IFERROR(INT(CampList[[#This Row],[Distance]]/5)+1,"")</f>
        <v/>
      </c>
    </row>
    <row r="108" spans="2:32" ht="15.75" customHeight="1" x14ac:dyDescent="0.3">
      <c r="B108" s="218" t="s">
        <v>460</v>
      </c>
      <c r="C108" s="212" t="s">
        <v>378</v>
      </c>
      <c r="D108" s="212" t="s">
        <v>478</v>
      </c>
      <c r="E108" s="212" t="s">
        <v>180</v>
      </c>
      <c r="F108" s="212" t="s">
        <v>479</v>
      </c>
      <c r="G108" s="212" t="s">
        <v>480</v>
      </c>
      <c r="H108" s="212" t="s">
        <v>481</v>
      </c>
      <c r="I108" s="226" t="s">
        <v>549</v>
      </c>
      <c r="J108" s="226" t="s">
        <v>550</v>
      </c>
      <c r="K108" s="226" t="s">
        <v>549</v>
      </c>
      <c r="L108" s="226">
        <v>166776</v>
      </c>
      <c r="M108" s="212" t="s">
        <v>108</v>
      </c>
      <c r="N108" s="212" t="s">
        <v>107</v>
      </c>
      <c r="O108" s="219">
        <v>96.341352999999998</v>
      </c>
      <c r="P108" s="219">
        <v>25.613894999999999</v>
      </c>
      <c r="Q108" s="220">
        <v>251</v>
      </c>
      <c r="R108" s="292">
        <v>49</v>
      </c>
      <c r="S108" s="292">
        <v>230</v>
      </c>
      <c r="T108" s="222">
        <f>IF(CampList[[#This Row],[HH]]&gt;0,CampList[[#This Row],[Total]]/CampList[[#This Row],[HH]],"NA")</f>
        <v>4.6938775510204085</v>
      </c>
      <c r="U108" s="214" t="s">
        <v>464</v>
      </c>
      <c r="V108" s="214" t="s">
        <v>995</v>
      </c>
      <c r="W108" s="214" t="s">
        <v>507</v>
      </c>
      <c r="X108" s="214" t="s">
        <v>742</v>
      </c>
      <c r="Y108" s="331">
        <v>41487</v>
      </c>
      <c r="Z108" s="223" t="s">
        <v>936</v>
      </c>
      <c r="AA108" s="239" t="s">
        <v>774</v>
      </c>
      <c r="AB108" s="225">
        <v>43230</v>
      </c>
      <c r="AC108" s="218" t="s">
        <v>1700</v>
      </c>
      <c r="AD108" s="214" t="str">
        <f ca="1">IFERROR(OFFSET(DistanceToCamp[Nearest Town],MATCH(CampList[[#This Row],[CP_Pcode]],DistanceToCamp[CP_Pcode],0)-1,0,1,1),"")</f>
        <v>Hpakant Town</v>
      </c>
      <c r="AE108" s="227">
        <f ca="1">IFERROR(OFFSET(DistanceToCamp[distance],MATCH(CampList[[#This Row],[CP_Pcode]],DistanceToCamp[CP_Pcode],0)-1,0,1,1),"")</f>
        <v>2.9334852607184256</v>
      </c>
      <c r="AF108" s="228">
        <f ca="1">IFERROR(INT(CampList[[#This Row],[Distance]]/5)+1,"")</f>
        <v>1</v>
      </c>
    </row>
    <row r="109" spans="2:32" ht="15.75" hidden="1" customHeight="1" x14ac:dyDescent="0.3">
      <c r="B109" s="218" t="s">
        <v>775</v>
      </c>
      <c r="C109" s="212" t="s">
        <v>378</v>
      </c>
      <c r="D109" s="212" t="s">
        <v>478</v>
      </c>
      <c r="E109" s="212" t="s">
        <v>180</v>
      </c>
      <c r="F109" s="212" t="s">
        <v>479</v>
      </c>
      <c r="G109" s="212" t="s">
        <v>480</v>
      </c>
      <c r="H109" s="212" t="s">
        <v>481</v>
      </c>
      <c r="I109" s="212"/>
      <c r="J109" s="212"/>
      <c r="K109" s="212"/>
      <c r="L109" s="212"/>
      <c r="M109" s="212" t="s">
        <v>96</v>
      </c>
      <c r="N109" s="212" t="s">
        <v>95</v>
      </c>
      <c r="O109" s="219"/>
      <c r="P109" s="219"/>
      <c r="Q109" s="233"/>
      <c r="R109" s="302">
        <v>0</v>
      </c>
      <c r="S109" s="303">
        <v>0</v>
      </c>
      <c r="T109" s="222" t="str">
        <f>IF(CampList[[#This Row],[HH]]&gt;0,CampList[[#This Row],[Total]]/CampList[[#This Row],[HH]],"NA")</f>
        <v>NA</v>
      </c>
      <c r="U109" s="214" t="s">
        <v>464</v>
      </c>
      <c r="V109" s="214" t="s">
        <v>995</v>
      </c>
      <c r="W109" s="214" t="s">
        <v>507</v>
      </c>
      <c r="X109" s="214"/>
      <c r="Y109" s="234"/>
      <c r="Z109" s="224"/>
      <c r="AA109" s="321"/>
      <c r="AB109" s="243"/>
      <c r="AC109" s="218" t="s">
        <v>541</v>
      </c>
      <c r="AD109" s="214" t="str">
        <f ca="1">IFERROR(OFFSET(DistanceToCamp[Nearest Town],MATCH(CampList[[#This Row],[CP_Pcode]],DistanceToCamp[CP_Pcode],0)-1,0,1,1),"")</f>
        <v/>
      </c>
      <c r="AE109" s="227" t="str">
        <f ca="1">IFERROR(OFFSET(DistanceToCamp[distance],MATCH(CampList[[#This Row],[CP_Pcode]],DistanceToCamp[CP_Pcode],0)-1,0,1,1),"")</f>
        <v/>
      </c>
      <c r="AF109" s="228" t="str">
        <f ca="1">IFERROR(INT(CampList[[#This Row],[Distance]]/5)+1,"")</f>
        <v/>
      </c>
    </row>
    <row r="110" spans="2:32" ht="15.75" customHeight="1" x14ac:dyDescent="0.3">
      <c r="B110" s="218" t="s">
        <v>460</v>
      </c>
      <c r="C110" s="212" t="s">
        <v>378</v>
      </c>
      <c r="D110" s="212" t="s">
        <v>478</v>
      </c>
      <c r="E110" s="212" t="s">
        <v>180</v>
      </c>
      <c r="F110" s="212" t="s">
        <v>479</v>
      </c>
      <c r="G110" s="212" t="s">
        <v>480</v>
      </c>
      <c r="H110" s="212" t="s">
        <v>481</v>
      </c>
      <c r="I110" s="226" t="s">
        <v>549</v>
      </c>
      <c r="J110" s="226" t="s">
        <v>550</v>
      </c>
      <c r="K110" s="212" t="s">
        <v>549</v>
      </c>
      <c r="L110" s="232">
        <v>166776</v>
      </c>
      <c r="M110" s="212" t="s">
        <v>140</v>
      </c>
      <c r="N110" s="212" t="s">
        <v>139</v>
      </c>
      <c r="O110" s="219">
        <v>96.306910999999999</v>
      </c>
      <c r="P110" s="219">
        <v>25.599250000000001</v>
      </c>
      <c r="Q110" s="220">
        <v>0</v>
      </c>
      <c r="R110" s="292">
        <v>16</v>
      </c>
      <c r="S110" s="292">
        <v>66</v>
      </c>
      <c r="T110" s="222">
        <f>IF(CampList[[#This Row],[HH]]&gt;0,CampList[[#This Row],[Total]]/CampList[[#This Row],[HH]],"NA")</f>
        <v>4.125</v>
      </c>
      <c r="U110" s="214" t="s">
        <v>464</v>
      </c>
      <c r="V110" s="214" t="s">
        <v>995</v>
      </c>
      <c r="W110" s="214" t="s">
        <v>507</v>
      </c>
      <c r="X110" s="214" t="s">
        <v>742</v>
      </c>
      <c r="Y110" s="331">
        <v>41122</v>
      </c>
      <c r="Z110" s="223" t="s">
        <v>424</v>
      </c>
      <c r="AA110" s="212" t="s">
        <v>774</v>
      </c>
      <c r="AB110" s="225">
        <v>43235</v>
      </c>
      <c r="AC110" s="226" t="s">
        <v>1762</v>
      </c>
      <c r="AD110" s="214" t="str">
        <f ca="1">IFERROR(OFFSET(DistanceToCamp[Nearest Town],MATCH(CampList[[#This Row],[CP_Pcode]],DistanceToCamp[CP_Pcode],0)-1,0,1,1),"")</f>
        <v>Hpakant Town</v>
      </c>
      <c r="AE110" s="227">
        <f ca="1">IFERROR(OFFSET(DistanceToCamp[distance],MATCH(CampList[[#This Row],[CP_Pcode]],DistanceToCamp[CP_Pcode],0)-1,0,1,1),"")</f>
        <v>1.5942018764815451</v>
      </c>
      <c r="AF110" s="228">
        <f ca="1">IFERROR(INT(CampList[[#This Row],[Distance]]/5)+1,"")</f>
        <v>1</v>
      </c>
    </row>
    <row r="111" spans="2:32" ht="15.75" hidden="1" customHeight="1" x14ac:dyDescent="0.3">
      <c r="B111" s="218" t="s">
        <v>775</v>
      </c>
      <c r="C111" s="212" t="s">
        <v>378</v>
      </c>
      <c r="D111" s="212" t="s">
        <v>478</v>
      </c>
      <c r="E111" s="212" t="s">
        <v>180</v>
      </c>
      <c r="F111" s="212" t="s">
        <v>479</v>
      </c>
      <c r="G111" s="212" t="s">
        <v>480</v>
      </c>
      <c r="H111" s="212" t="s">
        <v>481</v>
      </c>
      <c r="I111" s="212"/>
      <c r="J111" s="212"/>
      <c r="K111" s="212"/>
      <c r="L111" s="212"/>
      <c r="M111" s="212" t="s">
        <v>136</v>
      </c>
      <c r="N111" s="212" t="s">
        <v>135</v>
      </c>
      <c r="O111" s="219">
        <v>96.343350000000001</v>
      </c>
      <c r="P111" s="219">
        <v>25.6447</v>
      </c>
      <c r="Q111" s="233"/>
      <c r="R111" s="292">
        <v>0</v>
      </c>
      <c r="S111" s="292">
        <v>0</v>
      </c>
      <c r="T111" s="222" t="str">
        <f>IF(CampList[[#This Row],[HH]]&gt;0,CampList[[#This Row],[Total]]/CampList[[#This Row],[HH]],"NA")</f>
        <v>NA</v>
      </c>
      <c r="U111" s="214" t="s">
        <v>464</v>
      </c>
      <c r="V111" s="214" t="s">
        <v>995</v>
      </c>
      <c r="W111" s="214" t="s">
        <v>507</v>
      </c>
      <c r="X111" s="214"/>
      <c r="Y111" s="234"/>
      <c r="Z111" s="224"/>
      <c r="AA111" s="321"/>
      <c r="AB111" s="243"/>
      <c r="AC111" s="218" t="s">
        <v>541</v>
      </c>
      <c r="AD111" s="214" t="str">
        <f ca="1">IFERROR(OFFSET(DistanceToCamp[Nearest Town],MATCH(CampList[[#This Row],[CP_Pcode]],DistanceToCamp[CP_Pcode],0)-1,0,1,1),"")</f>
        <v/>
      </c>
      <c r="AE111" s="227" t="str">
        <f ca="1">IFERROR(OFFSET(DistanceToCamp[distance],MATCH(CampList[[#This Row],[CP_Pcode]],DistanceToCamp[CP_Pcode],0)-1,0,1,1),"")</f>
        <v/>
      </c>
      <c r="AF111" s="228" t="str">
        <f ca="1">IFERROR(INT(CampList[[#This Row],[Distance]]/5)+1,"")</f>
        <v/>
      </c>
    </row>
    <row r="112" spans="2:32" ht="15.75" hidden="1" customHeight="1" x14ac:dyDescent="0.3">
      <c r="B112" s="218" t="s">
        <v>775</v>
      </c>
      <c r="C112" s="212" t="s">
        <v>378</v>
      </c>
      <c r="D112" s="212" t="s">
        <v>478</v>
      </c>
      <c r="E112" s="212" t="s">
        <v>180</v>
      </c>
      <c r="F112" s="212" t="s">
        <v>479</v>
      </c>
      <c r="G112" s="212" t="s">
        <v>480</v>
      </c>
      <c r="H112" s="212" t="s">
        <v>481</v>
      </c>
      <c r="I112" s="226" t="s">
        <v>538</v>
      </c>
      <c r="J112" s="226" t="s">
        <v>539</v>
      </c>
      <c r="K112" s="226" t="s">
        <v>648</v>
      </c>
      <c r="L112" s="226">
        <v>166790</v>
      </c>
      <c r="M112" s="212" t="s">
        <v>94</v>
      </c>
      <c r="N112" s="212" t="s">
        <v>93</v>
      </c>
      <c r="O112" s="219"/>
      <c r="P112" s="219"/>
      <c r="Q112" s="233"/>
      <c r="R112" s="292">
        <v>0</v>
      </c>
      <c r="S112" s="292">
        <v>0</v>
      </c>
      <c r="T112" s="222" t="str">
        <f>IF(CampList[[#This Row],[HH]]&gt;0,CampList[[#This Row],[Total]]/CampList[[#This Row],[HH]],"NA")</f>
        <v>NA</v>
      </c>
      <c r="U112" s="214" t="s">
        <v>464</v>
      </c>
      <c r="V112" s="214" t="s">
        <v>995</v>
      </c>
      <c r="W112" s="214" t="s">
        <v>507</v>
      </c>
      <c r="X112" s="214"/>
      <c r="Y112" s="234"/>
      <c r="Z112" s="224"/>
      <c r="AA112" s="321"/>
      <c r="AB112" s="243"/>
      <c r="AC112" s="218" t="s">
        <v>541</v>
      </c>
      <c r="AD112" s="214" t="str">
        <f ca="1">IFERROR(OFFSET(DistanceToCamp[Nearest Town],MATCH(CampList[[#This Row],[CP_Pcode]],DistanceToCamp[CP_Pcode],0)-1,0,1,1),"")</f>
        <v/>
      </c>
      <c r="AE112" s="227" t="str">
        <f ca="1">IFERROR(OFFSET(DistanceToCamp[distance],MATCH(CampList[[#This Row],[CP_Pcode]],DistanceToCamp[CP_Pcode],0)-1,0,1,1),"")</f>
        <v/>
      </c>
      <c r="AF112" s="228" t="str">
        <f ca="1">IFERROR(INT(CampList[[#This Row],[Distance]]/5)+1,"")</f>
        <v/>
      </c>
    </row>
    <row r="113" spans="2:32" ht="15.75" hidden="1" customHeight="1" x14ac:dyDescent="0.3">
      <c r="B113" s="218" t="s">
        <v>775</v>
      </c>
      <c r="C113" s="212" t="s">
        <v>378</v>
      </c>
      <c r="D113" s="212" t="s">
        <v>478</v>
      </c>
      <c r="E113" s="212" t="s">
        <v>180</v>
      </c>
      <c r="F113" s="212" t="s">
        <v>479</v>
      </c>
      <c r="G113" s="212" t="s">
        <v>480</v>
      </c>
      <c r="H113" s="212" t="s">
        <v>481</v>
      </c>
      <c r="I113" s="212"/>
      <c r="J113" s="212"/>
      <c r="K113" s="212"/>
      <c r="L113" s="212"/>
      <c r="M113" s="212" t="s">
        <v>122</v>
      </c>
      <c r="N113" s="212" t="s">
        <v>121</v>
      </c>
      <c r="O113" s="219"/>
      <c r="P113" s="219"/>
      <c r="Q113" s="233"/>
      <c r="R113" s="292">
        <v>0</v>
      </c>
      <c r="S113" s="292">
        <v>0</v>
      </c>
      <c r="T113" s="222" t="str">
        <f>IF(CampList[[#This Row],[HH]]&gt;0,CampList[[#This Row],[Total]]/CampList[[#This Row],[HH]],"NA")</f>
        <v>NA</v>
      </c>
      <c r="U113" s="214" t="s">
        <v>464</v>
      </c>
      <c r="V113" s="214" t="s">
        <v>995</v>
      </c>
      <c r="W113" s="214" t="s">
        <v>507</v>
      </c>
      <c r="X113" s="214"/>
      <c r="Y113" s="234"/>
      <c r="Z113" s="224"/>
      <c r="AA113" s="321"/>
      <c r="AB113" s="243"/>
      <c r="AC113" s="218"/>
      <c r="AD113" s="214" t="str">
        <f ca="1">IFERROR(OFFSET(DistanceToCamp[Nearest Town],MATCH(CampList[[#This Row],[CP_Pcode]],DistanceToCamp[CP_Pcode],0)-1,0,1,1),"")</f>
        <v/>
      </c>
      <c r="AE113" s="227" t="str">
        <f ca="1">IFERROR(OFFSET(DistanceToCamp[distance],MATCH(CampList[[#This Row],[CP_Pcode]],DistanceToCamp[CP_Pcode],0)-1,0,1,1),"")</f>
        <v/>
      </c>
      <c r="AF113" s="228" t="str">
        <f ca="1">IFERROR(INT(CampList[[#This Row],[Distance]]/5)+1,"")</f>
        <v/>
      </c>
    </row>
    <row r="114" spans="2:32" ht="15.75" customHeight="1" x14ac:dyDescent="0.3">
      <c r="B114" s="218" t="s">
        <v>460</v>
      </c>
      <c r="C114" s="212" t="s">
        <v>378</v>
      </c>
      <c r="D114" s="212" t="s">
        <v>478</v>
      </c>
      <c r="E114" s="212" t="s">
        <v>180</v>
      </c>
      <c r="F114" s="212" t="s">
        <v>479</v>
      </c>
      <c r="G114" s="212" t="s">
        <v>480</v>
      </c>
      <c r="H114" s="212" t="s">
        <v>481</v>
      </c>
      <c r="I114" s="226" t="s">
        <v>538</v>
      </c>
      <c r="J114" s="226" t="s">
        <v>539</v>
      </c>
      <c r="K114" s="226" t="s">
        <v>538</v>
      </c>
      <c r="L114" s="226">
        <v>166783</v>
      </c>
      <c r="M114" s="212" t="s">
        <v>72</v>
      </c>
      <c r="N114" s="212" t="s">
        <v>71</v>
      </c>
      <c r="O114" s="219">
        <v>96.283377000000002</v>
      </c>
      <c r="P114" s="219">
        <v>25.582065</v>
      </c>
      <c r="Q114" s="220">
        <v>0</v>
      </c>
      <c r="R114" s="292">
        <v>5</v>
      </c>
      <c r="S114" s="292">
        <v>27</v>
      </c>
      <c r="T114" s="222">
        <f>IF(CampList[[#This Row],[HH]]&gt;0,CampList[[#This Row],[Total]]/CampList[[#This Row],[HH]],"NA")</f>
        <v>5.4</v>
      </c>
      <c r="U114" s="214" t="s">
        <v>464</v>
      </c>
      <c r="V114" s="214" t="s">
        <v>995</v>
      </c>
      <c r="W114" s="214" t="s">
        <v>1391</v>
      </c>
      <c r="X114" s="197" t="s">
        <v>742</v>
      </c>
      <c r="Y114" s="331">
        <v>41487</v>
      </c>
      <c r="Z114" s="223" t="s">
        <v>1322</v>
      </c>
      <c r="AA114" s="239" t="s">
        <v>774</v>
      </c>
      <c r="AB114" s="225">
        <v>43220</v>
      </c>
      <c r="AC114" s="218" t="s">
        <v>1668</v>
      </c>
      <c r="AD114" s="214" t="str">
        <f ca="1">IFERROR(OFFSET(DistanceToCamp[Nearest Town],MATCH(CampList[[#This Row],[CP_Pcode]],DistanceToCamp[CP_Pcode],0)-1,0,1,1),"")</f>
        <v>Hpakant Town</v>
      </c>
      <c r="AE114" s="227">
        <f ca="1">IFERROR(OFFSET(DistanceToCamp[distance],MATCH(CampList[[#This Row],[CP_Pcode]],DistanceToCamp[CP_Pcode],0)-1,0,1,1),"")</f>
        <v>4.4704963044882238</v>
      </c>
      <c r="AF114" s="228">
        <f ca="1">IFERROR(INT(CampList[[#This Row],[Distance]]/5)+1,"")</f>
        <v>1</v>
      </c>
    </row>
    <row r="115" spans="2:32" ht="15.75" hidden="1" customHeight="1" x14ac:dyDescent="0.3">
      <c r="B115" s="218" t="s">
        <v>775</v>
      </c>
      <c r="C115" s="212" t="s">
        <v>378</v>
      </c>
      <c r="D115" s="212" t="s">
        <v>478</v>
      </c>
      <c r="E115" s="212" t="s">
        <v>180</v>
      </c>
      <c r="F115" s="212" t="s">
        <v>479</v>
      </c>
      <c r="G115" s="212" t="s">
        <v>480</v>
      </c>
      <c r="H115" s="212" t="s">
        <v>481</v>
      </c>
      <c r="I115" s="226" t="s">
        <v>652</v>
      </c>
      <c r="J115" s="226" t="s">
        <v>653</v>
      </c>
      <c r="K115" s="226" t="s">
        <v>652</v>
      </c>
      <c r="L115" s="226">
        <v>166794</v>
      </c>
      <c r="M115" s="212" t="s">
        <v>132</v>
      </c>
      <c r="N115" s="212" t="s">
        <v>131</v>
      </c>
      <c r="O115" s="219"/>
      <c r="P115" s="219"/>
      <c r="Q115" s="233"/>
      <c r="R115" s="302">
        <v>0</v>
      </c>
      <c r="S115" s="303">
        <v>0</v>
      </c>
      <c r="T115" s="222" t="str">
        <f>IF(CampList[[#This Row],[HH]]&gt;0,CampList[[#This Row],[Total]]/CampList[[#This Row],[HH]],"NA")</f>
        <v>NA</v>
      </c>
      <c r="U115" s="214" t="s">
        <v>464</v>
      </c>
      <c r="V115" s="214" t="s">
        <v>995</v>
      </c>
      <c r="W115" s="214" t="s">
        <v>507</v>
      </c>
      <c r="X115" s="214"/>
      <c r="Y115" s="234"/>
      <c r="Z115" s="224"/>
      <c r="AA115" s="321"/>
      <c r="AB115" s="243"/>
      <c r="AC115" s="218"/>
      <c r="AD115" s="214" t="str">
        <f ca="1">IFERROR(OFFSET(DistanceToCamp[Nearest Town],MATCH(CampList[[#This Row],[CP_Pcode]],DistanceToCamp[CP_Pcode],0)-1,0,1,1),"")</f>
        <v/>
      </c>
      <c r="AE115" s="227" t="str">
        <f ca="1">IFERROR(OFFSET(DistanceToCamp[distance],MATCH(CampList[[#This Row],[CP_Pcode]],DistanceToCamp[CP_Pcode],0)-1,0,1,1),"")</f>
        <v/>
      </c>
      <c r="AF115" s="228" t="str">
        <f ca="1">IFERROR(INT(CampList[[#This Row],[Distance]]/5)+1,"")</f>
        <v/>
      </c>
    </row>
    <row r="116" spans="2:32" ht="15.75" hidden="1" customHeight="1" x14ac:dyDescent="0.3">
      <c r="B116" s="239" t="s">
        <v>775</v>
      </c>
      <c r="C116" s="212" t="s">
        <v>378</v>
      </c>
      <c r="D116" s="212" t="s">
        <v>478</v>
      </c>
      <c r="E116" s="212" t="s">
        <v>237</v>
      </c>
      <c r="F116" s="212" t="s">
        <v>484</v>
      </c>
      <c r="G116" s="212" t="s">
        <v>309</v>
      </c>
      <c r="H116" s="212" t="s">
        <v>485</v>
      </c>
      <c r="I116" s="212" t="s">
        <v>704</v>
      </c>
      <c r="J116" s="212" t="s">
        <v>705</v>
      </c>
      <c r="K116" s="229" t="s">
        <v>1119</v>
      </c>
      <c r="L116" s="229">
        <v>220360</v>
      </c>
      <c r="M116" s="212" t="s">
        <v>1032</v>
      </c>
      <c r="N116" s="212" t="s">
        <v>354</v>
      </c>
      <c r="O116" s="219">
        <v>97.756789999999995</v>
      </c>
      <c r="P116" s="219">
        <v>25.106670000000001</v>
      </c>
      <c r="Q116" s="220">
        <v>756</v>
      </c>
      <c r="R116" s="292"/>
      <c r="S116" s="292"/>
      <c r="T116" s="222" t="str">
        <f>IF(CampList[[#This Row],[HH]]&gt;0,CampList[[#This Row],[Total]]/CampList[[#This Row],[HH]],"NA")</f>
        <v>NA</v>
      </c>
      <c r="U116" s="214" t="s">
        <v>466</v>
      </c>
      <c r="V116" s="214" t="s">
        <v>995</v>
      </c>
      <c r="W116" s="214" t="s">
        <v>507</v>
      </c>
      <c r="X116" s="214" t="s">
        <v>784</v>
      </c>
      <c r="Y116" s="223">
        <v>40848</v>
      </c>
      <c r="Z116" s="223" t="s">
        <v>424</v>
      </c>
      <c r="AA116" s="212" t="s">
        <v>774</v>
      </c>
      <c r="AB116" s="225">
        <v>42888</v>
      </c>
      <c r="AC116" s="226" t="s">
        <v>1268</v>
      </c>
      <c r="AD116" s="214" t="str">
        <f ca="1">IFERROR(OFFSET(DistanceToCamp[Nearest Town],MATCH(CampList[[#This Row],[CP_Pcode]],DistanceToCamp[CP_Pcode],0)-1,0,1,1),"")</f>
        <v>Sadung Town</v>
      </c>
      <c r="AE116" s="227">
        <f ca="1">IFERROR(OFFSET(DistanceToCamp[distance],MATCH(CampList[[#This Row],[CP_Pcode]],DistanceToCamp[CP_Pcode],0)-1,0,1,1),"")</f>
        <v>32.827754639406997</v>
      </c>
      <c r="AF116" s="228">
        <f ca="1">IFERROR(INT(CampList[[#This Row],[Distance]]/5)+1,"")</f>
        <v>7</v>
      </c>
    </row>
    <row r="117" spans="2:32" ht="15.75" customHeight="1" x14ac:dyDescent="0.3">
      <c r="B117" s="242" t="s">
        <v>460</v>
      </c>
      <c r="C117" s="213" t="s">
        <v>378</v>
      </c>
      <c r="D117" s="213" t="s">
        <v>478</v>
      </c>
      <c r="E117" s="213" t="s">
        <v>237</v>
      </c>
      <c r="F117" s="213" t="s">
        <v>484</v>
      </c>
      <c r="G117" s="213" t="s">
        <v>309</v>
      </c>
      <c r="H117" s="213" t="s">
        <v>485</v>
      </c>
      <c r="I117" s="213" t="s">
        <v>658</v>
      </c>
      <c r="J117" s="232" t="s">
        <v>709</v>
      </c>
      <c r="K117" s="213" t="s">
        <v>710</v>
      </c>
      <c r="L117" s="213">
        <v>165895</v>
      </c>
      <c r="M117" s="213" t="s">
        <v>333</v>
      </c>
      <c r="N117" s="213" t="s">
        <v>332</v>
      </c>
      <c r="O117" s="221">
        <v>97.915833000000006</v>
      </c>
      <c r="P117" s="221">
        <v>25.220278</v>
      </c>
      <c r="Q117" s="233">
        <v>2404</v>
      </c>
      <c r="R117" s="292">
        <v>125</v>
      </c>
      <c r="S117" s="292">
        <v>483</v>
      </c>
      <c r="T117" s="222">
        <f>IF(CampList[[#This Row],[HH]]&gt;0,CampList[[#This Row],[Total]]/CampList[[#This Row],[HH]],"NA")</f>
        <v>3.8639999999999999</v>
      </c>
      <c r="U117" s="197" t="s">
        <v>466</v>
      </c>
      <c r="V117" s="214" t="s">
        <v>995</v>
      </c>
      <c r="W117" s="197" t="s">
        <v>507</v>
      </c>
      <c r="X117" s="197" t="s">
        <v>785</v>
      </c>
      <c r="Y117" s="332">
        <v>40848</v>
      </c>
      <c r="Z117" s="233" t="s">
        <v>936</v>
      </c>
      <c r="AA117" s="213" t="s">
        <v>774</v>
      </c>
      <c r="AB117" s="225">
        <v>43230</v>
      </c>
      <c r="AC117" s="235" t="s">
        <v>1691</v>
      </c>
      <c r="AD117" s="236" t="str">
        <f ca="1">IFERROR(OFFSET(DistanceToCamp[Nearest Town],MATCH(CampList[[#This Row],[CP_Pcode]],DistanceToCamp[CP_Pcode],0)-1,0,1,1),"")</f>
        <v>Sadung Town</v>
      </c>
      <c r="AE117" s="227">
        <f ca="1">IFERROR(OFFSET(DistanceToCamp[distance],MATCH(CampList[[#This Row],[CP_Pcode]],DistanceToCamp[CP_Pcode],0)-1,0,1,1),"")</f>
        <v>18.198335991626355</v>
      </c>
      <c r="AF117" s="237">
        <f ca="1">IFERROR(INT(CampList[[#This Row],[Distance]]/5)+1,"")</f>
        <v>4</v>
      </c>
    </row>
    <row r="118" spans="2:32" ht="15.75" hidden="1" customHeight="1" x14ac:dyDescent="0.3">
      <c r="B118" s="218" t="s">
        <v>775</v>
      </c>
      <c r="C118" s="212" t="s">
        <v>378</v>
      </c>
      <c r="D118" s="212" t="s">
        <v>478</v>
      </c>
      <c r="E118" s="212" t="s">
        <v>237</v>
      </c>
      <c r="F118" s="212" t="s">
        <v>484</v>
      </c>
      <c r="G118" s="212" t="s">
        <v>309</v>
      </c>
      <c r="H118" s="212" t="s">
        <v>485</v>
      </c>
      <c r="I118" s="226" t="s">
        <v>658</v>
      </c>
      <c r="J118" s="212"/>
      <c r="K118" s="212"/>
      <c r="L118" s="212"/>
      <c r="M118" s="212" t="s">
        <v>356</v>
      </c>
      <c r="N118" s="212" t="s">
        <v>355</v>
      </c>
      <c r="O118" s="219">
        <v>97.837778</v>
      </c>
      <c r="P118" s="219">
        <v>25.273333000000001</v>
      </c>
      <c r="Q118" s="233"/>
      <c r="R118" s="302">
        <v>0</v>
      </c>
      <c r="S118" s="303">
        <v>0</v>
      </c>
      <c r="T118" s="222" t="str">
        <f>IF(CampList[[#This Row],[HH]]&gt;0,CampList[[#This Row],[Total]]/CampList[[#This Row],[HH]],"NA")</f>
        <v>NA</v>
      </c>
      <c r="U118" s="214" t="s">
        <v>466</v>
      </c>
      <c r="V118" s="214" t="s">
        <v>995</v>
      </c>
      <c r="W118" s="214" t="s">
        <v>507</v>
      </c>
      <c r="X118" s="214"/>
      <c r="Y118" s="234"/>
      <c r="Z118" s="224"/>
      <c r="AA118" s="239"/>
      <c r="AB118" s="243"/>
      <c r="AC118" s="218"/>
      <c r="AD118" s="214" t="str">
        <f ca="1">IFERROR(OFFSET(DistanceToCamp[Nearest Town],MATCH(CampList[[#This Row],[CP_Pcode]],DistanceToCamp[CP_Pcode],0)-1,0,1,1),"")</f>
        <v/>
      </c>
      <c r="AE118" s="227" t="str">
        <f ca="1">IFERROR(OFFSET(DistanceToCamp[distance],MATCH(CampList[[#This Row],[CP_Pcode]],DistanceToCamp[CP_Pcode],0)-1,0,1,1),"")</f>
        <v/>
      </c>
      <c r="AF118" s="228" t="str">
        <f ca="1">IFERROR(INT(CampList[[#This Row],[Distance]]/5)+1,"")</f>
        <v/>
      </c>
    </row>
    <row r="119" spans="2:32" ht="15.75" customHeight="1" x14ac:dyDescent="0.3">
      <c r="B119" s="239" t="s">
        <v>460</v>
      </c>
      <c r="C119" s="212" t="s">
        <v>378</v>
      </c>
      <c r="D119" s="212" t="s">
        <v>478</v>
      </c>
      <c r="E119" s="212" t="s">
        <v>237</v>
      </c>
      <c r="F119" s="212" t="s">
        <v>484</v>
      </c>
      <c r="G119" s="212" t="s">
        <v>309</v>
      </c>
      <c r="H119" s="212" t="s">
        <v>485</v>
      </c>
      <c r="I119" s="212" t="s">
        <v>710</v>
      </c>
      <c r="J119" s="212" t="s">
        <v>709</v>
      </c>
      <c r="K119" s="230" t="s">
        <v>1097</v>
      </c>
      <c r="L119" s="230"/>
      <c r="M119" s="212" t="s">
        <v>335</v>
      </c>
      <c r="N119" s="212" t="s">
        <v>334</v>
      </c>
      <c r="O119" s="219">
        <v>97.807182999999995</v>
      </c>
      <c r="P119" s="219">
        <v>25.200333000000001</v>
      </c>
      <c r="Q119" s="220">
        <v>1023</v>
      </c>
      <c r="R119" s="292">
        <v>154</v>
      </c>
      <c r="S119" s="292">
        <v>919</v>
      </c>
      <c r="T119" s="222">
        <f>IF(CampList[[#This Row],[HH]]&gt;0,CampList[[#This Row],[Total]]/CampList[[#This Row],[HH]],"NA")</f>
        <v>5.9675324675324672</v>
      </c>
      <c r="U119" s="214" t="s">
        <v>466</v>
      </c>
      <c r="V119" s="214" t="s">
        <v>995</v>
      </c>
      <c r="W119" s="214" t="s">
        <v>507</v>
      </c>
      <c r="X119" s="214" t="s">
        <v>784</v>
      </c>
      <c r="Y119" s="331">
        <v>40878</v>
      </c>
      <c r="Z119" s="223" t="s">
        <v>424</v>
      </c>
      <c r="AA119" s="239" t="s">
        <v>774</v>
      </c>
      <c r="AB119" s="225">
        <v>43235</v>
      </c>
      <c r="AC119" s="218" t="s">
        <v>1763</v>
      </c>
      <c r="AD119" s="214" t="str">
        <f ca="1">IFERROR(OFFSET(DistanceToCamp[Nearest Town],MATCH(CampList[[#This Row],[CP_Pcode]],DistanceToCamp[CP_Pcode],0)-1,0,1,1),"")</f>
        <v>Sadung Town</v>
      </c>
      <c r="AE119" s="227">
        <f ca="1">IFERROR(OFFSET(DistanceToCamp[distance],MATCH(CampList[[#This Row],[CP_Pcode]],DistanceToCamp[CP_Pcode],0)-1,0,1,1),"")</f>
        <v>21.287604662770121</v>
      </c>
      <c r="AF119" s="228">
        <f ca="1">IFERROR(INT(CampList[[#This Row],[Distance]]/5)+1,"")</f>
        <v>5</v>
      </c>
    </row>
    <row r="120" spans="2:32" ht="15.75" customHeight="1" x14ac:dyDescent="0.3">
      <c r="B120" s="242" t="s">
        <v>460</v>
      </c>
      <c r="C120" s="213" t="s">
        <v>378</v>
      </c>
      <c r="D120" s="213" t="s">
        <v>478</v>
      </c>
      <c r="E120" s="213" t="s">
        <v>237</v>
      </c>
      <c r="F120" s="213" t="s">
        <v>484</v>
      </c>
      <c r="G120" s="213" t="s">
        <v>309</v>
      </c>
      <c r="H120" s="213" t="s">
        <v>485</v>
      </c>
      <c r="I120" s="213" t="s">
        <v>667</v>
      </c>
      <c r="J120" s="232" t="s">
        <v>668</v>
      </c>
      <c r="K120" s="213" t="s">
        <v>667</v>
      </c>
      <c r="L120" s="213">
        <v>165772</v>
      </c>
      <c r="M120" s="213" t="s">
        <v>351</v>
      </c>
      <c r="N120" s="213" t="s">
        <v>350</v>
      </c>
      <c r="O120" s="221">
        <v>97.546893999999995</v>
      </c>
      <c r="P120" s="221">
        <v>24.755253</v>
      </c>
      <c r="Q120" s="233">
        <v>316</v>
      </c>
      <c r="R120" s="292">
        <v>1433</v>
      </c>
      <c r="S120" s="292">
        <v>7123</v>
      </c>
      <c r="T120" s="222">
        <f>IF(CampList[[#This Row],[HH]]&gt;0,CampList[[#This Row],[Total]]/CampList[[#This Row],[HH]],"NA")</f>
        <v>4.9706908583391485</v>
      </c>
      <c r="U120" s="197" t="s">
        <v>466</v>
      </c>
      <c r="V120" s="214" t="s">
        <v>995</v>
      </c>
      <c r="W120" s="197" t="s">
        <v>507</v>
      </c>
      <c r="X120" s="197" t="s">
        <v>742</v>
      </c>
      <c r="Y120" s="332">
        <v>40695</v>
      </c>
      <c r="Z120" s="233" t="s">
        <v>936</v>
      </c>
      <c r="AA120" s="213" t="s">
        <v>774</v>
      </c>
      <c r="AB120" s="225">
        <v>43230</v>
      </c>
      <c r="AC120" s="235" t="s">
        <v>1706</v>
      </c>
      <c r="AD120" s="236" t="str">
        <f ca="1">IFERROR(OFFSET(DistanceToCamp[Nearest Town],MATCH(CampList[[#This Row],[CP_Pcode]],DistanceToCamp[CP_Pcode],0)-1,0,1,1),"")</f>
        <v>Laiza town</v>
      </c>
      <c r="AE120" s="227">
        <f ca="1">IFERROR(OFFSET(DistanceToCamp[distance],MATCH(CampList[[#This Row],[CP_Pcode]],DistanceToCamp[CP_Pcode],0)-1,0,1,1),"")</f>
        <v>1.7420415164460403</v>
      </c>
      <c r="AF120" s="237">
        <f ca="1">IFERROR(INT(CampList[[#This Row],[Distance]]/5)+1,"")</f>
        <v>1</v>
      </c>
    </row>
    <row r="121" spans="2:32" ht="15.75" hidden="1" customHeight="1" x14ac:dyDescent="0.3">
      <c r="B121" s="218" t="s">
        <v>775</v>
      </c>
      <c r="C121" s="212" t="s">
        <v>378</v>
      </c>
      <c r="D121" s="212" t="s">
        <v>478</v>
      </c>
      <c r="E121" s="212" t="s">
        <v>237</v>
      </c>
      <c r="F121" s="212" t="s">
        <v>484</v>
      </c>
      <c r="G121" s="212" t="s">
        <v>309</v>
      </c>
      <c r="H121" s="212" t="s">
        <v>485</v>
      </c>
      <c r="I121" s="226" t="s">
        <v>667</v>
      </c>
      <c r="J121" s="226" t="s">
        <v>668</v>
      </c>
      <c r="K121" s="226" t="s">
        <v>667</v>
      </c>
      <c r="L121" s="226">
        <v>165772</v>
      </c>
      <c r="M121" s="212" t="s">
        <v>1035</v>
      </c>
      <c r="N121" s="212" t="s">
        <v>313</v>
      </c>
      <c r="O121" s="219">
        <v>97.551507000000001</v>
      </c>
      <c r="P121" s="219">
        <v>24.747212999999999</v>
      </c>
      <c r="Q121" s="220">
        <v>221</v>
      </c>
      <c r="R121" s="302">
        <v>0</v>
      </c>
      <c r="S121" s="303">
        <v>0</v>
      </c>
      <c r="T121" s="222" t="str">
        <f>IF(CampList[[#This Row],[HH]]&gt;0,CampList[[#This Row],[Total]]/CampList[[#This Row],[HH]],"NA")</f>
        <v>NA</v>
      </c>
      <c r="U121" s="214" t="s">
        <v>466</v>
      </c>
      <c r="V121" s="214" t="s">
        <v>995</v>
      </c>
      <c r="W121" s="214" t="s">
        <v>507</v>
      </c>
      <c r="X121" s="214" t="s">
        <v>784</v>
      </c>
      <c r="Y121" s="223">
        <v>40695</v>
      </c>
      <c r="Z121" s="223" t="s">
        <v>936</v>
      </c>
      <c r="AA121" s="239" t="s">
        <v>774</v>
      </c>
      <c r="AB121" s="225">
        <v>42180</v>
      </c>
      <c r="AC121" s="218" t="s">
        <v>1049</v>
      </c>
      <c r="AD121" s="214" t="str">
        <f ca="1">IFERROR(OFFSET(DistanceToCamp[Nearest Town],MATCH(CampList[[#This Row],[CP_Pcode]],DistanceToCamp[CP_Pcode],0)-1,0,1,1),"")</f>
        <v>Laiza town</v>
      </c>
      <c r="AE121" s="227">
        <f ca="1">IFERROR(OFFSET(DistanceToCamp[distance],MATCH(CampList[[#This Row],[CP_Pcode]],DistanceToCamp[CP_Pcode],0)-1,0,1,1),"")</f>
        <v>1.857513522619473</v>
      </c>
      <c r="AF121" s="228">
        <f ca="1">IFERROR(INT(CampList[[#This Row],[Distance]]/5)+1,"")</f>
        <v>1</v>
      </c>
    </row>
    <row r="122" spans="2:32" ht="15.75" hidden="1" customHeight="1" x14ac:dyDescent="0.3">
      <c r="B122" s="218" t="s">
        <v>775</v>
      </c>
      <c r="C122" s="212" t="s">
        <v>378</v>
      </c>
      <c r="D122" s="212" t="s">
        <v>478</v>
      </c>
      <c r="E122" s="212" t="s">
        <v>237</v>
      </c>
      <c r="F122" s="212" t="s">
        <v>484</v>
      </c>
      <c r="G122" s="212" t="s">
        <v>309</v>
      </c>
      <c r="H122" s="212" t="s">
        <v>485</v>
      </c>
      <c r="I122" s="226" t="s">
        <v>667</v>
      </c>
      <c r="J122" s="226" t="s">
        <v>668</v>
      </c>
      <c r="K122" s="226" t="s">
        <v>667</v>
      </c>
      <c r="L122" s="226">
        <v>165772</v>
      </c>
      <c r="M122" s="212" t="s">
        <v>331</v>
      </c>
      <c r="N122" s="212" t="s">
        <v>330</v>
      </c>
      <c r="O122" s="219">
        <v>97.550267000000005</v>
      </c>
      <c r="P122" s="219">
        <v>24.747966999999999</v>
      </c>
      <c r="Q122" s="233"/>
      <c r="R122" s="302">
        <v>0</v>
      </c>
      <c r="S122" s="303">
        <v>0</v>
      </c>
      <c r="T122" s="222" t="str">
        <f>IF(CampList[[#This Row],[HH]]&gt;0,CampList[[#This Row],[Total]]/CampList[[#This Row],[HH]],"NA")</f>
        <v>NA</v>
      </c>
      <c r="U122" s="214" t="s">
        <v>464</v>
      </c>
      <c r="V122" s="214" t="s">
        <v>995</v>
      </c>
      <c r="W122" s="214" t="s">
        <v>507</v>
      </c>
      <c r="X122" s="214"/>
      <c r="Y122" s="234"/>
      <c r="Z122" s="224"/>
      <c r="AA122" s="239"/>
      <c r="AB122" s="243"/>
      <c r="AC122" s="218" t="s">
        <v>776</v>
      </c>
      <c r="AD122" s="214" t="str">
        <f ca="1">IFERROR(OFFSET(DistanceToCamp[Nearest Town],MATCH(CampList[[#This Row],[CP_Pcode]],DistanceToCamp[CP_Pcode],0)-1,0,1,1),"")</f>
        <v/>
      </c>
      <c r="AE122" s="227" t="str">
        <f ca="1">IFERROR(OFFSET(DistanceToCamp[distance],MATCH(CampList[[#This Row],[CP_Pcode]],DistanceToCamp[CP_Pcode],0)-1,0,1,1),"")</f>
        <v/>
      </c>
      <c r="AF122" s="228" t="str">
        <f ca="1">IFERROR(INT(CampList[[#This Row],[Distance]]/5)+1,"")</f>
        <v/>
      </c>
    </row>
    <row r="123" spans="2:32" ht="15.75" customHeight="1" x14ac:dyDescent="0.3">
      <c r="B123" s="242" t="s">
        <v>460</v>
      </c>
      <c r="C123" s="213" t="s">
        <v>378</v>
      </c>
      <c r="D123" s="213" t="s">
        <v>478</v>
      </c>
      <c r="E123" s="213" t="s">
        <v>237</v>
      </c>
      <c r="F123" s="213" t="s">
        <v>484</v>
      </c>
      <c r="G123" s="213" t="s">
        <v>309</v>
      </c>
      <c r="H123" s="213" t="s">
        <v>485</v>
      </c>
      <c r="I123" s="213" t="s">
        <v>695</v>
      </c>
      <c r="J123" s="232" t="s">
        <v>696</v>
      </c>
      <c r="K123" s="213" t="s">
        <v>697</v>
      </c>
      <c r="L123" s="213">
        <v>165790</v>
      </c>
      <c r="M123" s="213" t="s">
        <v>321</v>
      </c>
      <c r="N123" s="213" t="s">
        <v>320</v>
      </c>
      <c r="O123" s="221">
        <v>97.715230000000005</v>
      </c>
      <c r="P123" s="221">
        <v>24.980250000000002</v>
      </c>
      <c r="Q123" s="233">
        <v>984</v>
      </c>
      <c r="R123" s="292">
        <v>418</v>
      </c>
      <c r="S123" s="292">
        <v>1569</v>
      </c>
      <c r="T123" s="222">
        <f>IF(CampList[[#This Row],[HH]]&gt;0,CampList[[#This Row],[Total]]/CampList[[#This Row],[HH]],"NA")</f>
        <v>3.7535885167464116</v>
      </c>
      <c r="U123" s="197" t="s">
        <v>466</v>
      </c>
      <c r="V123" s="214" t="s">
        <v>995</v>
      </c>
      <c r="W123" s="197" t="s">
        <v>507</v>
      </c>
      <c r="X123" s="197" t="s">
        <v>784</v>
      </c>
      <c r="Y123" s="332">
        <v>40695</v>
      </c>
      <c r="Z123" s="233" t="s">
        <v>936</v>
      </c>
      <c r="AA123" s="213" t="s">
        <v>774</v>
      </c>
      <c r="AB123" s="225">
        <v>43230</v>
      </c>
      <c r="AC123" s="235" t="s">
        <v>1696</v>
      </c>
      <c r="AD123" s="236" t="str">
        <f ca="1">IFERROR(OFFSET(DistanceToCamp[Nearest Town],MATCH(CampList[[#This Row],[CP_Pcode]],DistanceToCamp[CP_Pcode],0)-1,0,1,1),"")</f>
        <v>Laiza town</v>
      </c>
      <c r="AE123" s="227">
        <f ca="1">IFERROR(OFFSET(DistanceToCamp[distance],MATCH(CampList[[#This Row],[CP_Pcode]],DistanceToCamp[CP_Pcode],0)-1,0,1,1),"")</f>
        <v>28.888856599204185</v>
      </c>
      <c r="AF123" s="237">
        <f ca="1">IFERROR(INT(CampList[[#This Row],[Distance]]/5)+1,"")</f>
        <v>6</v>
      </c>
    </row>
    <row r="124" spans="2:32" ht="15.75" customHeight="1" x14ac:dyDescent="0.3">
      <c r="B124" s="239" t="s">
        <v>460</v>
      </c>
      <c r="C124" s="212" t="s">
        <v>378</v>
      </c>
      <c r="D124" s="212" t="s">
        <v>478</v>
      </c>
      <c r="E124" s="212" t="s">
        <v>237</v>
      </c>
      <c r="F124" s="212" t="s">
        <v>484</v>
      </c>
      <c r="G124" s="212" t="s">
        <v>309</v>
      </c>
      <c r="H124" s="212" t="s">
        <v>485</v>
      </c>
      <c r="I124" s="212" t="s">
        <v>695</v>
      </c>
      <c r="J124" s="212" t="s">
        <v>696</v>
      </c>
      <c r="K124" s="229" t="s">
        <v>1120</v>
      </c>
      <c r="L124" s="229">
        <v>165792</v>
      </c>
      <c r="M124" s="212" t="s">
        <v>1030</v>
      </c>
      <c r="N124" s="212" t="s">
        <v>343</v>
      </c>
      <c r="O124" s="219">
        <v>97.751389000000003</v>
      </c>
      <c r="P124" s="219">
        <v>24.831944</v>
      </c>
      <c r="Q124" s="220">
        <v>2330</v>
      </c>
      <c r="R124" s="292">
        <v>163</v>
      </c>
      <c r="S124" s="292">
        <v>909</v>
      </c>
      <c r="T124" s="222">
        <f>IF(CampList[[#This Row],[HH]]&gt;0,CampList[[#This Row],[Total]]/CampList[[#This Row],[HH]],"NA")</f>
        <v>5.5766871165644174</v>
      </c>
      <c r="U124" s="214" t="s">
        <v>466</v>
      </c>
      <c r="V124" s="214" t="s">
        <v>995</v>
      </c>
      <c r="W124" s="214" t="s">
        <v>507</v>
      </c>
      <c r="X124" s="214" t="s">
        <v>784</v>
      </c>
      <c r="Y124" s="331">
        <v>40725</v>
      </c>
      <c r="Z124" s="223" t="s">
        <v>424</v>
      </c>
      <c r="AA124" s="212" t="s">
        <v>774</v>
      </c>
      <c r="AB124" s="225">
        <v>43235</v>
      </c>
      <c r="AC124" s="226" t="s">
        <v>1764</v>
      </c>
      <c r="AD124" s="214" t="str">
        <f ca="1">IFERROR(OFFSET(DistanceToCamp[Nearest Town],MATCH(CampList[[#This Row],[CP_Pcode]],DistanceToCamp[CP_Pcode],0)-1,0,1,1),"")</f>
        <v>Laiza town</v>
      </c>
      <c r="AE124" s="227">
        <f ca="1">IFERROR(OFFSET(DistanceToCamp[distance],MATCH(CampList[[#This Row],[CP_Pcode]],DistanceToCamp[CP_Pcode],0)-1,0,1,1),"")</f>
        <v>20.599512012485512</v>
      </c>
      <c r="AF124" s="228">
        <f ca="1">IFERROR(INT(CampList[[#This Row],[Distance]]/5)+1,"")</f>
        <v>5</v>
      </c>
    </row>
    <row r="125" spans="2:32" ht="15.75" customHeight="1" x14ac:dyDescent="0.3">
      <c r="B125" s="231" t="s">
        <v>460</v>
      </c>
      <c r="C125" s="213" t="s">
        <v>378</v>
      </c>
      <c r="D125" s="213" t="s">
        <v>478</v>
      </c>
      <c r="E125" s="213" t="s">
        <v>5</v>
      </c>
      <c r="F125" s="213" t="s">
        <v>482</v>
      </c>
      <c r="G125" s="213" t="s">
        <v>185</v>
      </c>
      <c r="H125" s="213" t="s">
        <v>486</v>
      </c>
      <c r="I125" s="213" t="s">
        <v>674</v>
      </c>
      <c r="J125" s="232" t="s">
        <v>675</v>
      </c>
      <c r="K125" s="213" t="s">
        <v>676</v>
      </c>
      <c r="L125" s="213">
        <v>167223</v>
      </c>
      <c r="M125" s="213" t="s">
        <v>196</v>
      </c>
      <c r="N125" s="213" t="s">
        <v>195</v>
      </c>
      <c r="O125" s="221">
        <v>97.568331999999998</v>
      </c>
      <c r="P125" s="221">
        <v>24.688338999999999</v>
      </c>
      <c r="Q125" s="233">
        <v>314</v>
      </c>
      <c r="R125" s="292">
        <v>1497</v>
      </c>
      <c r="S125" s="292">
        <v>8461</v>
      </c>
      <c r="T125" s="222">
        <f>IF(CampList[[#This Row],[HH]]&gt;0,CampList[[#This Row],[Total]]/CampList[[#This Row],[HH]],"NA")</f>
        <v>5.6519706078824319</v>
      </c>
      <c r="U125" s="197" t="s">
        <v>466</v>
      </c>
      <c r="V125" s="214" t="s">
        <v>995</v>
      </c>
      <c r="W125" s="197" t="s">
        <v>507</v>
      </c>
      <c r="X125" s="197" t="s">
        <v>784</v>
      </c>
      <c r="Y125" s="332">
        <v>41061</v>
      </c>
      <c r="Z125" s="233" t="s">
        <v>936</v>
      </c>
      <c r="AA125" s="213" t="s">
        <v>774</v>
      </c>
      <c r="AB125" s="225">
        <v>43230</v>
      </c>
      <c r="AC125" s="235" t="s">
        <v>1695</v>
      </c>
      <c r="AD125" s="236" t="str">
        <f ca="1">IFERROR(OFFSET(DistanceToCamp[Nearest Town],MATCH(CampList[[#This Row],[CP_Pcode]],DistanceToCamp[CP_Pcode],0)-1,0,1,1),"")</f>
        <v>Laiza town</v>
      </c>
      <c r="AE125" s="227">
        <f ca="1">IFERROR(OFFSET(DistanceToCamp[distance],MATCH(CampList[[#This Row],[CP_Pcode]],DistanceToCamp[CP_Pcode],0)-1,0,1,1),"")</f>
        <v>7.985347533011188</v>
      </c>
      <c r="AF125" s="237">
        <f ca="1">IFERROR(INT(CampList[[#This Row],[Distance]]/5)+1,"")</f>
        <v>2</v>
      </c>
    </row>
    <row r="126" spans="2:32" ht="15.75" customHeight="1" x14ac:dyDescent="0.3">
      <c r="B126" s="231" t="s">
        <v>460</v>
      </c>
      <c r="C126" s="213" t="s">
        <v>378</v>
      </c>
      <c r="D126" s="213" t="s">
        <v>478</v>
      </c>
      <c r="E126" s="213" t="s">
        <v>5</v>
      </c>
      <c r="F126" s="213" t="s">
        <v>482</v>
      </c>
      <c r="G126" s="213" t="s">
        <v>185</v>
      </c>
      <c r="H126" s="213" t="s">
        <v>486</v>
      </c>
      <c r="I126" s="213" t="s">
        <v>674</v>
      </c>
      <c r="J126" s="232" t="s">
        <v>675</v>
      </c>
      <c r="K126" s="213" t="s">
        <v>676</v>
      </c>
      <c r="L126" s="213">
        <v>167223</v>
      </c>
      <c r="M126" s="213" t="s">
        <v>194</v>
      </c>
      <c r="N126" s="213" t="s">
        <v>193</v>
      </c>
      <c r="O126" s="221">
        <v>97.573126000000002</v>
      </c>
      <c r="P126" s="221">
        <v>24.661905999999998</v>
      </c>
      <c r="Q126" s="233">
        <v>415</v>
      </c>
      <c r="R126" s="292">
        <v>716</v>
      </c>
      <c r="S126" s="292">
        <v>3646</v>
      </c>
      <c r="T126" s="222">
        <f>IF(CampList[[#This Row],[HH]]&gt;0,CampList[[#This Row],[Total]]/CampList[[#This Row],[HH]],"NA")</f>
        <v>5.0921787709497206</v>
      </c>
      <c r="U126" s="197" t="s">
        <v>466</v>
      </c>
      <c r="V126" s="214" t="s">
        <v>995</v>
      </c>
      <c r="W126" s="197" t="s">
        <v>507</v>
      </c>
      <c r="X126" s="197" t="s">
        <v>784</v>
      </c>
      <c r="Y126" s="332">
        <v>40695</v>
      </c>
      <c r="Z126" s="233" t="s">
        <v>936</v>
      </c>
      <c r="AA126" s="213" t="s">
        <v>774</v>
      </c>
      <c r="AB126" s="225">
        <v>43230</v>
      </c>
      <c r="AC126" s="235" t="s">
        <v>1693</v>
      </c>
      <c r="AD126" s="236" t="str">
        <f ca="1">IFERROR(OFFSET(DistanceToCamp[Nearest Town],MATCH(CampList[[#This Row],[CP_Pcode]],DistanceToCamp[CP_Pcode],0)-1,0,1,1),"")</f>
        <v>Laiza town</v>
      </c>
      <c r="AE126" s="227">
        <f ca="1">IFERROR(OFFSET(DistanceToCamp[distance],MATCH(CampList[[#This Row],[CP_Pcode]],DistanceToCamp[CP_Pcode],0)-1,0,1,1),"")</f>
        <v>10.953347686331073</v>
      </c>
      <c r="AF126" s="237">
        <f ca="1">IFERROR(INT(CampList[[#This Row],[Distance]]/5)+1,"")</f>
        <v>3</v>
      </c>
    </row>
    <row r="127" spans="2:32" ht="15.75" customHeight="1" x14ac:dyDescent="0.3">
      <c r="B127" s="231" t="s">
        <v>460</v>
      </c>
      <c r="C127" s="213" t="s">
        <v>378</v>
      </c>
      <c r="D127" s="213" t="s">
        <v>478</v>
      </c>
      <c r="E127" s="213" t="s">
        <v>5</v>
      </c>
      <c r="F127" s="213" t="s">
        <v>482</v>
      </c>
      <c r="G127" s="213" t="s">
        <v>185</v>
      </c>
      <c r="H127" s="213" t="s">
        <v>486</v>
      </c>
      <c r="I127" s="213" t="s">
        <v>665</v>
      </c>
      <c r="J127" s="232" t="s">
        <v>666</v>
      </c>
      <c r="K127" s="213" t="s">
        <v>523</v>
      </c>
      <c r="L127" s="213">
        <v>167343</v>
      </c>
      <c r="M127" s="213" t="s">
        <v>192</v>
      </c>
      <c r="N127" s="213" t="s">
        <v>191</v>
      </c>
      <c r="O127" s="221">
        <v>97.537099999999995</v>
      </c>
      <c r="P127" s="221">
        <v>24.461033</v>
      </c>
      <c r="Q127" s="233">
        <v>360</v>
      </c>
      <c r="R127" s="292">
        <v>93</v>
      </c>
      <c r="S127" s="292">
        <v>428</v>
      </c>
      <c r="T127" s="222">
        <f>IF(CampList[[#This Row],[HH]]&gt;0,CampList[[#This Row],[Total]]/CampList[[#This Row],[HH]],"NA")</f>
        <v>4.602150537634409</v>
      </c>
      <c r="U127" s="197" t="s">
        <v>466</v>
      </c>
      <c r="V127" s="214" t="s">
        <v>995</v>
      </c>
      <c r="W127" s="197" t="s">
        <v>507</v>
      </c>
      <c r="X127" s="197" t="s">
        <v>785</v>
      </c>
      <c r="Y127" s="332">
        <v>40756</v>
      </c>
      <c r="Z127" s="233" t="s">
        <v>936</v>
      </c>
      <c r="AA127" s="213" t="s">
        <v>774</v>
      </c>
      <c r="AB127" s="225">
        <v>43230</v>
      </c>
      <c r="AC127" s="235" t="s">
        <v>1692</v>
      </c>
      <c r="AD127" s="236" t="str">
        <f ca="1">IFERROR(OFFSET(DistanceToCamp[Nearest Town],MATCH(CampList[[#This Row],[CP_Pcode]],DistanceToCamp[CP_Pcode],0)-1,0,1,1),"")</f>
        <v>Dawthponeyan  Town</v>
      </c>
      <c r="AE127" s="227">
        <f ca="1">IFERROR(OFFSET(DistanceToCamp[distance],MATCH(CampList[[#This Row],[CP_Pcode]],DistanceToCamp[CP_Pcode],0)-1,0,1,1),"")</f>
        <v>18.65617244319267</v>
      </c>
      <c r="AF127" s="237">
        <f ca="1">IFERROR(INT(CampList[[#This Row],[Distance]]/5)+1,"")</f>
        <v>4</v>
      </c>
    </row>
    <row r="128" spans="2:32" ht="15.75" customHeight="1" x14ac:dyDescent="0.3">
      <c r="B128" s="231" t="s">
        <v>460</v>
      </c>
      <c r="C128" s="213" t="s">
        <v>378</v>
      </c>
      <c r="D128" s="213" t="s">
        <v>478</v>
      </c>
      <c r="E128" s="213" t="s">
        <v>5</v>
      </c>
      <c r="F128" s="213" t="s">
        <v>482</v>
      </c>
      <c r="G128" s="213" t="s">
        <v>185</v>
      </c>
      <c r="H128" s="213" t="s">
        <v>486</v>
      </c>
      <c r="I128" s="213" t="s">
        <v>701</v>
      </c>
      <c r="J128" s="232" t="s">
        <v>702</v>
      </c>
      <c r="K128" s="213" t="s">
        <v>703</v>
      </c>
      <c r="L128" s="213">
        <v>216913</v>
      </c>
      <c r="M128" s="213" t="s">
        <v>219</v>
      </c>
      <c r="N128" s="213" t="s">
        <v>218</v>
      </c>
      <c r="O128" s="221">
        <v>97.752667000000002</v>
      </c>
      <c r="P128" s="221">
        <v>24.2744</v>
      </c>
      <c r="Q128" s="233">
        <v>978</v>
      </c>
      <c r="R128" s="221">
        <v>651</v>
      </c>
      <c r="S128" s="221">
        <v>3631</v>
      </c>
      <c r="T128" s="222">
        <f>IF(CampList[[#This Row],[HH]]&gt;0,CampList[[#This Row],[Total]]/CampList[[#This Row],[HH]],"NA")</f>
        <v>5.5775729646697387</v>
      </c>
      <c r="U128" s="197" t="s">
        <v>466</v>
      </c>
      <c r="V128" s="214" t="s">
        <v>995</v>
      </c>
      <c r="W128" s="197" t="s">
        <v>507</v>
      </c>
      <c r="X128" s="197" t="s">
        <v>784</v>
      </c>
      <c r="Y128" s="332">
        <v>41000</v>
      </c>
      <c r="Z128" s="233" t="s">
        <v>935</v>
      </c>
      <c r="AA128" s="213" t="s">
        <v>774</v>
      </c>
      <c r="AB128" s="225">
        <v>43230</v>
      </c>
      <c r="AC128" s="235" t="s">
        <v>1688</v>
      </c>
      <c r="AD128" s="236" t="str">
        <f ca="1">IFERROR(OFFSET(DistanceToCamp[Nearest Town],MATCH(CampList[[#This Row],[CP_Pcode]],DistanceToCamp[CP_Pcode],0)-1,0,1,1),"")</f>
        <v>Lwegel Town</v>
      </c>
      <c r="AE128" s="227">
        <f ca="1">IFERROR(OFFSET(DistanceToCamp[distance],MATCH(CampList[[#This Row],[CP_Pcode]],DistanceToCamp[CP_Pcode],0)-1,0,1,1),"")</f>
        <v>8.953204937938569</v>
      </c>
      <c r="AF128" s="237">
        <f ca="1">IFERROR(INT(CampList[[#This Row],[Distance]]/5)+1,"")</f>
        <v>2</v>
      </c>
    </row>
    <row r="129" spans="2:32" ht="15.75" customHeight="1" x14ac:dyDescent="0.3">
      <c r="B129" s="231" t="s">
        <v>460</v>
      </c>
      <c r="C129" s="213" t="s">
        <v>378</v>
      </c>
      <c r="D129" s="213" t="s">
        <v>478</v>
      </c>
      <c r="E129" s="213" t="s">
        <v>5</v>
      </c>
      <c r="F129" s="213" t="s">
        <v>482</v>
      </c>
      <c r="G129" s="213" t="s">
        <v>151</v>
      </c>
      <c r="H129" s="213" t="s">
        <v>492</v>
      </c>
      <c r="I129" s="213" t="s">
        <v>683</v>
      </c>
      <c r="J129" s="232" t="s">
        <v>684</v>
      </c>
      <c r="K129" s="213" t="s">
        <v>685</v>
      </c>
      <c r="L129" s="213">
        <v>216948</v>
      </c>
      <c r="M129" s="213" t="s">
        <v>198</v>
      </c>
      <c r="N129" s="213" t="s">
        <v>197</v>
      </c>
      <c r="O129" s="221">
        <v>97.625617000000005</v>
      </c>
      <c r="P129" s="221">
        <v>24.056132999999999</v>
      </c>
      <c r="Q129" s="233">
        <v>866</v>
      </c>
      <c r="R129" s="221">
        <v>544</v>
      </c>
      <c r="S129" s="330">
        <v>2424</v>
      </c>
      <c r="T129" s="222">
        <f>IF(CampList[[#This Row],[HH]]&gt;0,CampList[[#This Row],[Total]]/CampList[[#This Row],[HH]],"NA")</f>
        <v>4.4558823529411766</v>
      </c>
      <c r="U129" s="197" t="s">
        <v>466</v>
      </c>
      <c r="V129" s="214" t="s">
        <v>995</v>
      </c>
      <c r="W129" s="197" t="s">
        <v>507</v>
      </c>
      <c r="X129" s="197" t="s">
        <v>784</v>
      </c>
      <c r="Y129" s="332">
        <v>40817</v>
      </c>
      <c r="Z129" s="233" t="s">
        <v>935</v>
      </c>
      <c r="AA129" s="213" t="s">
        <v>774</v>
      </c>
      <c r="AB129" s="225">
        <v>43230</v>
      </c>
      <c r="AC129" s="235" t="s">
        <v>1680</v>
      </c>
      <c r="AD129" s="236" t="str">
        <f ca="1">IFERROR(OFFSET(DistanceToCamp[Nearest Town],MATCH(CampList[[#This Row],[CP_Pcode]],DistanceToCamp[CP_Pcode],0)-1,0,1,1),"")</f>
        <v>Lwegel Town</v>
      </c>
      <c r="AE129" s="227">
        <f ca="1">IFERROR(OFFSET(DistanceToCamp[distance],MATCH(CampList[[#This Row],[CP_Pcode]],DistanceToCamp[CP_Pcode],0)-1,0,1,1),"")</f>
        <v>18.620903555062636</v>
      </c>
      <c r="AF129" s="237">
        <f ca="1">IFERROR(INT(CampList[[#This Row],[Distance]]/5)+1,"")</f>
        <v>4</v>
      </c>
    </row>
    <row r="130" spans="2:32" ht="15.75" customHeight="1" x14ac:dyDescent="0.3">
      <c r="B130" s="218" t="s">
        <v>460</v>
      </c>
      <c r="C130" s="212" t="s">
        <v>378</v>
      </c>
      <c r="D130" s="212" t="s">
        <v>478</v>
      </c>
      <c r="E130" s="212" t="s">
        <v>5</v>
      </c>
      <c r="F130" s="212" t="s">
        <v>482</v>
      </c>
      <c r="G130" s="226" t="s">
        <v>151</v>
      </c>
      <c r="H130" s="226" t="s">
        <v>492</v>
      </c>
      <c r="I130" s="226" t="s">
        <v>679</v>
      </c>
      <c r="J130" s="226" t="s">
        <v>680</v>
      </c>
      <c r="K130" s="226" t="s">
        <v>679</v>
      </c>
      <c r="L130" s="226" t="s">
        <v>679</v>
      </c>
      <c r="M130" s="212" t="s">
        <v>188</v>
      </c>
      <c r="N130" s="212" t="s">
        <v>187</v>
      </c>
      <c r="O130" s="219">
        <v>97.609832999999995</v>
      </c>
      <c r="P130" s="219">
        <v>24.002433</v>
      </c>
      <c r="Q130" s="220">
        <v>854</v>
      </c>
      <c r="R130" s="329">
        <v>365</v>
      </c>
      <c r="S130" s="330">
        <v>1729</v>
      </c>
      <c r="T130" s="222">
        <f>IF(CampList[[#This Row],[HH]]&gt;0,CampList[[#This Row],[Total]]/CampList[[#This Row],[HH]],"NA")</f>
        <v>4.7369863013698632</v>
      </c>
      <c r="U130" s="214" t="s">
        <v>466</v>
      </c>
      <c r="V130" s="214" t="s">
        <v>995</v>
      </c>
      <c r="W130" s="214" t="s">
        <v>507</v>
      </c>
      <c r="X130" s="214" t="s">
        <v>784</v>
      </c>
      <c r="Y130" s="331">
        <v>40817</v>
      </c>
      <c r="Z130" s="223" t="s">
        <v>935</v>
      </c>
      <c r="AA130" s="239" t="s">
        <v>774</v>
      </c>
      <c r="AB130" s="225">
        <v>43230</v>
      </c>
      <c r="AC130" s="218" t="s">
        <v>1679</v>
      </c>
      <c r="AD130" s="214" t="str">
        <f ca="1">IFERROR(OFFSET(DistanceToCamp[Nearest Town],MATCH(CampList[[#This Row],[CP_Pcode]],DistanceToCamp[CP_Pcode],0)-1,0,1,1),"")</f>
        <v>Namhkan Town</v>
      </c>
      <c r="AE130" s="227">
        <f ca="1">IFERROR(OFFSET(DistanceToCamp[distance],MATCH(CampList[[#This Row],[CP_Pcode]],DistanceToCamp[CP_Pcode],0)-1,0,1,1),"")</f>
        <v>19.796407430638478</v>
      </c>
      <c r="AF130" s="228">
        <f ca="1">IFERROR(INT(CampList[[#This Row],[Distance]]/5)+1,"")</f>
        <v>4</v>
      </c>
    </row>
    <row r="131" spans="2:32" ht="15.75" customHeight="1" x14ac:dyDescent="0.3">
      <c r="B131" s="231" t="s">
        <v>460</v>
      </c>
      <c r="C131" s="213" t="s">
        <v>378</v>
      </c>
      <c r="D131" s="213" t="s">
        <v>478</v>
      </c>
      <c r="E131" s="213" t="s">
        <v>5</v>
      </c>
      <c r="F131" s="213" t="s">
        <v>482</v>
      </c>
      <c r="G131" s="213" t="s">
        <v>185</v>
      </c>
      <c r="H131" s="213" t="s">
        <v>486</v>
      </c>
      <c r="I131" s="213" t="s">
        <v>686</v>
      </c>
      <c r="J131" s="232" t="s">
        <v>687</v>
      </c>
      <c r="K131" s="213" t="s">
        <v>688</v>
      </c>
      <c r="L131" s="213">
        <v>167138</v>
      </c>
      <c r="M131" s="213" t="s">
        <v>215</v>
      </c>
      <c r="N131" s="213" t="s">
        <v>214</v>
      </c>
      <c r="O131" s="221">
        <v>97.669366999999994</v>
      </c>
      <c r="P131" s="221">
        <v>24.378167000000001</v>
      </c>
      <c r="Q131" s="233">
        <v>1149</v>
      </c>
      <c r="R131" s="221">
        <v>356</v>
      </c>
      <c r="S131" s="221">
        <v>1787</v>
      </c>
      <c r="T131" s="222">
        <f>IF(CampList[[#This Row],[HH]]&gt;0,CampList[[#This Row],[Total]]/CampList[[#This Row],[HH]],"NA")</f>
        <v>5.0196629213483144</v>
      </c>
      <c r="U131" s="197" t="s">
        <v>466</v>
      </c>
      <c r="V131" s="214" t="s">
        <v>995</v>
      </c>
      <c r="W131" s="197" t="s">
        <v>507</v>
      </c>
      <c r="X131" s="197" t="s">
        <v>784</v>
      </c>
      <c r="Y131" s="332">
        <v>41000</v>
      </c>
      <c r="Z131" s="233" t="s">
        <v>935</v>
      </c>
      <c r="AA131" s="213" t="s">
        <v>774</v>
      </c>
      <c r="AB131" s="225">
        <v>43230</v>
      </c>
      <c r="AC131" s="235" t="s">
        <v>1687</v>
      </c>
      <c r="AD131" s="236" t="str">
        <f ca="1">IFERROR(OFFSET(DistanceToCamp[Nearest Town],MATCH(CampList[[#This Row],[CP_Pcode]],DistanceToCamp[CP_Pcode],0)-1,0,1,1),"")</f>
        <v>Lwegel Town</v>
      </c>
      <c r="AE131" s="227">
        <f ca="1">IFERROR(OFFSET(DistanceToCamp[distance],MATCH(CampList[[#This Row],[CP_Pcode]],DistanceToCamp[CP_Pcode],0)-1,0,1,1),"")</f>
        <v>20.558236360788097</v>
      </c>
      <c r="AF131" s="237">
        <f ca="1">IFERROR(INT(CampList[[#This Row],[Distance]]/5)+1,"")</f>
        <v>5</v>
      </c>
    </row>
    <row r="132" spans="2:32" ht="15.75" customHeight="1" x14ac:dyDescent="0.3">
      <c r="B132" s="231" t="s">
        <v>460</v>
      </c>
      <c r="C132" s="213" t="s">
        <v>378</v>
      </c>
      <c r="D132" s="213" t="s">
        <v>478</v>
      </c>
      <c r="E132" s="213" t="s">
        <v>5</v>
      </c>
      <c r="F132" s="213" t="s">
        <v>482</v>
      </c>
      <c r="G132" s="213" t="s">
        <v>151</v>
      </c>
      <c r="H132" s="213" t="s">
        <v>492</v>
      </c>
      <c r="I132" s="213" t="s">
        <v>600</v>
      </c>
      <c r="J132" s="232" t="s">
        <v>601</v>
      </c>
      <c r="K132" s="226" t="s">
        <v>600</v>
      </c>
      <c r="L132" s="238">
        <v>167405</v>
      </c>
      <c r="M132" s="213" t="s">
        <v>154</v>
      </c>
      <c r="N132" s="213" t="s">
        <v>153</v>
      </c>
      <c r="O132" s="221">
        <v>97.578490000000002</v>
      </c>
      <c r="P132" s="221">
        <v>23.835319999999999</v>
      </c>
      <c r="Q132" s="233">
        <v>795</v>
      </c>
      <c r="R132" s="221">
        <v>446</v>
      </c>
      <c r="S132" s="221">
        <v>2329</v>
      </c>
      <c r="T132" s="222">
        <f>IF(CampList[[#This Row],[HH]]&gt;0,CampList[[#This Row],[Total]]/CampList[[#This Row],[HH]],"NA")</f>
        <v>5.2219730941704032</v>
      </c>
      <c r="U132" s="197" t="s">
        <v>464</v>
      </c>
      <c r="V132" s="214" t="s">
        <v>995</v>
      </c>
      <c r="W132" s="197" t="s">
        <v>507</v>
      </c>
      <c r="X132" s="197" t="s">
        <v>784</v>
      </c>
      <c r="Y132" s="332">
        <v>40848</v>
      </c>
      <c r="Z132" s="233" t="s">
        <v>935</v>
      </c>
      <c r="AA132" s="213" t="s">
        <v>774</v>
      </c>
      <c r="AB132" s="225">
        <v>43230</v>
      </c>
      <c r="AC132" s="235" t="s">
        <v>1684</v>
      </c>
      <c r="AD132" s="236" t="str">
        <f ca="1">IFERROR(OFFSET(DistanceToCamp[Nearest Town],MATCH(CampList[[#This Row],[CP_Pcode]],DistanceToCamp[CP_Pcode],0)-1,0,1,1),"")</f>
        <v>Namhkan Town</v>
      </c>
      <c r="AE132" s="227">
        <f ca="1">IFERROR(OFFSET(DistanceToCamp[distance],MATCH(CampList[[#This Row],[CP_Pcode]],DistanceToCamp[CP_Pcode],0)-1,0,1,1),"")</f>
        <v>10.509375400480517</v>
      </c>
      <c r="AF132" s="237">
        <f ca="1">IFERROR(INT(CampList[[#This Row],[Distance]]/5)+1,"")</f>
        <v>3</v>
      </c>
    </row>
    <row r="133" spans="2:32" ht="15.75" customHeight="1" x14ac:dyDescent="0.3">
      <c r="B133" s="218" t="s">
        <v>460</v>
      </c>
      <c r="C133" s="212" t="s">
        <v>378</v>
      </c>
      <c r="D133" s="212" t="s">
        <v>478</v>
      </c>
      <c r="E133" s="212" t="s">
        <v>5</v>
      </c>
      <c r="F133" s="212" t="s">
        <v>482</v>
      </c>
      <c r="G133" s="212" t="s">
        <v>151</v>
      </c>
      <c r="H133" s="212" t="s">
        <v>492</v>
      </c>
      <c r="I133" s="226" t="s">
        <v>600</v>
      </c>
      <c r="J133" s="226" t="s">
        <v>601</v>
      </c>
      <c r="K133" s="226" t="s">
        <v>600</v>
      </c>
      <c r="L133" s="238">
        <v>167405</v>
      </c>
      <c r="M133" s="212" t="s">
        <v>160</v>
      </c>
      <c r="N133" s="212" t="s">
        <v>159</v>
      </c>
      <c r="O133" s="219">
        <v>97.589979999999997</v>
      </c>
      <c r="P133" s="219">
        <v>23.83013</v>
      </c>
      <c r="Q133" s="220">
        <v>741</v>
      </c>
      <c r="R133" s="292">
        <v>127</v>
      </c>
      <c r="S133" s="292">
        <v>649</v>
      </c>
      <c r="T133" s="222">
        <f>IF(CampList[[#This Row],[HH]]&gt;0,CampList[[#This Row],[Total]]/CampList[[#This Row],[HH]],"NA")</f>
        <v>5.1102362204724407</v>
      </c>
      <c r="U133" s="214" t="s">
        <v>464</v>
      </c>
      <c r="V133" s="214" t="s">
        <v>995</v>
      </c>
      <c r="W133" s="214" t="s">
        <v>507</v>
      </c>
      <c r="X133" s="214" t="s">
        <v>784</v>
      </c>
      <c r="Y133" s="331">
        <v>40940</v>
      </c>
      <c r="Z133" s="223" t="s">
        <v>424</v>
      </c>
      <c r="AA133" s="239" t="s">
        <v>774</v>
      </c>
      <c r="AB133" s="225">
        <v>43235</v>
      </c>
      <c r="AC133" s="226" t="s">
        <v>1765</v>
      </c>
      <c r="AD133" s="214" t="str">
        <f ca="1">IFERROR(OFFSET(DistanceToCamp[Nearest Town],MATCH(CampList[[#This Row],[CP_Pcode]],DistanceToCamp[CP_Pcode],0)-1,0,1,1),"")</f>
        <v>Namhkan Town</v>
      </c>
      <c r="AE133" s="227">
        <f ca="1">IFERROR(OFFSET(DistanceToCamp[distance],MATCH(CampList[[#This Row],[CP_Pcode]],DistanceToCamp[CP_Pcode],0)-1,0,1,1),"")</f>
        <v>9.3704379947870464</v>
      </c>
      <c r="AF133" s="228">
        <f ca="1">IFERROR(INT(CampList[[#This Row],[Distance]]/5)+1,"")</f>
        <v>2</v>
      </c>
    </row>
    <row r="134" spans="2:32" ht="15.75" customHeight="1" x14ac:dyDescent="0.3">
      <c r="B134" s="218" t="s">
        <v>460</v>
      </c>
      <c r="C134" s="212" t="s">
        <v>378</v>
      </c>
      <c r="D134" s="212" t="s">
        <v>478</v>
      </c>
      <c r="E134" s="212" t="s">
        <v>5</v>
      </c>
      <c r="F134" s="212" t="s">
        <v>482</v>
      </c>
      <c r="G134" s="212" t="s">
        <v>151</v>
      </c>
      <c r="H134" s="212" t="s">
        <v>492</v>
      </c>
      <c r="I134" s="226" t="s">
        <v>600</v>
      </c>
      <c r="J134" s="226" t="s">
        <v>601</v>
      </c>
      <c r="K134" s="226" t="s">
        <v>600</v>
      </c>
      <c r="L134" s="226">
        <v>167405</v>
      </c>
      <c r="M134" s="212" t="s">
        <v>156</v>
      </c>
      <c r="N134" s="212" t="s">
        <v>155</v>
      </c>
      <c r="O134" s="219">
        <v>97.588291999999996</v>
      </c>
      <c r="P134" s="219">
        <v>23.827870999999998</v>
      </c>
      <c r="Q134" s="233"/>
      <c r="R134" s="329">
        <v>175</v>
      </c>
      <c r="S134" s="330">
        <v>834</v>
      </c>
      <c r="T134" s="222">
        <f>IF(CampList[[#This Row],[HH]]&gt;0,CampList[[#This Row],[Total]]/CampList[[#This Row],[HH]],"NA")</f>
        <v>4.765714285714286</v>
      </c>
      <c r="U134" s="214" t="s">
        <v>464</v>
      </c>
      <c r="V134" s="214" t="s">
        <v>995</v>
      </c>
      <c r="W134" s="244" t="s">
        <v>12</v>
      </c>
      <c r="X134" s="214" t="s">
        <v>784</v>
      </c>
      <c r="Y134" s="332"/>
      <c r="Z134" s="224" t="s">
        <v>1322</v>
      </c>
      <c r="AA134" s="239" t="s">
        <v>774</v>
      </c>
      <c r="AB134" s="247">
        <v>43090</v>
      </c>
      <c r="AC134" s="226" t="s">
        <v>1571</v>
      </c>
      <c r="AD134" s="214" t="str">
        <f ca="1">IFERROR(OFFSET(DistanceToCamp[Nearest Town],MATCH(CampList[[#This Row],[CP_Pcode]],DistanceToCamp[CP_Pcode],0)-1,0,1,1),"")</f>
        <v>Namhkan Town</v>
      </c>
      <c r="AE134" s="227">
        <f ca="1">IFERROR(OFFSET(DistanceToCamp[distance],MATCH(CampList[[#This Row],[CP_Pcode]],DistanceToCamp[CP_Pcode],0)-1,0,1,1),"")</f>
        <v>9.5650381623500511</v>
      </c>
      <c r="AF134" s="228">
        <f ca="1">IFERROR(INT(CampList[[#This Row],[Distance]]/5)+1,"")</f>
        <v>2</v>
      </c>
    </row>
    <row r="135" spans="2:32" ht="15.75" hidden="1" customHeight="1" x14ac:dyDescent="0.3">
      <c r="B135" s="218" t="s">
        <v>775</v>
      </c>
      <c r="C135" s="212" t="s">
        <v>378</v>
      </c>
      <c r="D135" s="212" t="s">
        <v>478</v>
      </c>
      <c r="E135" s="212" t="s">
        <v>5</v>
      </c>
      <c r="F135" s="212" t="s">
        <v>482</v>
      </c>
      <c r="G135" s="212" t="s">
        <v>151</v>
      </c>
      <c r="H135" s="212" t="s">
        <v>492</v>
      </c>
      <c r="I135" s="226" t="s">
        <v>677</v>
      </c>
      <c r="J135" s="226" t="s">
        <v>678</v>
      </c>
      <c r="K135" s="226"/>
      <c r="L135" s="226"/>
      <c r="M135" s="212" t="s">
        <v>158</v>
      </c>
      <c r="N135" s="212" t="s">
        <v>157</v>
      </c>
      <c r="O135" s="219">
        <v>97.585667000000001</v>
      </c>
      <c r="P135" s="219">
        <v>23.9055</v>
      </c>
      <c r="Q135" s="220">
        <v>745</v>
      </c>
      <c r="R135" s="302">
        <v>0</v>
      </c>
      <c r="S135" s="303">
        <v>0</v>
      </c>
      <c r="T135" s="222" t="str">
        <f>IF(CampList[[#This Row],[HH]]&gt;0,CampList[[#This Row],[Total]]/CampList[[#This Row],[HH]],"NA")</f>
        <v>NA</v>
      </c>
      <c r="U135" s="214" t="s">
        <v>466</v>
      </c>
      <c r="V135" s="214" t="s">
        <v>995</v>
      </c>
      <c r="W135" s="214" t="s">
        <v>507</v>
      </c>
      <c r="X135" s="214" t="s">
        <v>785</v>
      </c>
      <c r="Y135" s="223">
        <v>41122</v>
      </c>
      <c r="Z135" s="223" t="s">
        <v>935</v>
      </c>
      <c r="AA135" s="239" t="s">
        <v>774</v>
      </c>
      <c r="AB135" s="225">
        <v>42235</v>
      </c>
      <c r="AC135" s="218" t="s">
        <v>1064</v>
      </c>
      <c r="AD135" s="214" t="str">
        <f ca="1">IFERROR(OFFSET(DistanceToCamp[Nearest Town],MATCH(CampList[[#This Row],[CP_Pcode]],DistanceToCamp[CP_Pcode],0)-1,0,1,1),"")</f>
        <v>Namhkan Town</v>
      </c>
      <c r="AE135" s="227">
        <f ca="1">IFERROR(OFFSET(DistanceToCamp[distance],MATCH(CampList[[#This Row],[CP_Pcode]],DistanceToCamp[CP_Pcode],0)-1,0,1,1),"")</f>
        <v>12.392289083396149</v>
      </c>
      <c r="AF135" s="228">
        <f ca="1">IFERROR(INT(CampList[[#This Row],[Distance]]/5)+1,"")</f>
        <v>3</v>
      </c>
    </row>
    <row r="136" spans="2:32" ht="15.75" hidden="1" customHeight="1" x14ac:dyDescent="0.3">
      <c r="B136" s="218" t="s">
        <v>775</v>
      </c>
      <c r="C136" s="212" t="s">
        <v>378</v>
      </c>
      <c r="D136" s="212" t="s">
        <v>478</v>
      </c>
      <c r="E136" s="212" t="s">
        <v>5</v>
      </c>
      <c r="F136" s="212" t="s">
        <v>482</v>
      </c>
      <c r="G136" s="212" t="s">
        <v>151</v>
      </c>
      <c r="H136" s="212" t="s">
        <v>492</v>
      </c>
      <c r="I136" s="226" t="s">
        <v>600</v>
      </c>
      <c r="J136" s="226" t="s">
        <v>601</v>
      </c>
      <c r="K136" s="226"/>
      <c r="L136" s="226"/>
      <c r="M136" s="212" t="s">
        <v>162</v>
      </c>
      <c r="N136" s="212" t="s">
        <v>161</v>
      </c>
      <c r="O136" s="219"/>
      <c r="P136" s="219"/>
      <c r="Q136" s="233"/>
      <c r="R136" s="302">
        <v>0</v>
      </c>
      <c r="S136" s="303">
        <v>0</v>
      </c>
      <c r="T136" s="222" t="str">
        <f>IF(CampList[[#This Row],[HH]]&gt;0,CampList[[#This Row],[Total]]/CampList[[#This Row],[HH]],"NA")</f>
        <v>NA</v>
      </c>
      <c r="U136" s="214" t="s">
        <v>466</v>
      </c>
      <c r="V136" s="214" t="s">
        <v>995</v>
      </c>
      <c r="W136" s="214" t="s">
        <v>507</v>
      </c>
      <c r="X136" s="214"/>
      <c r="Y136" s="234"/>
      <c r="Z136" s="224"/>
      <c r="AA136" s="239" t="s">
        <v>774</v>
      </c>
      <c r="AB136" s="225">
        <v>41737</v>
      </c>
      <c r="AC136" s="218" t="s">
        <v>894</v>
      </c>
      <c r="AD136" s="214" t="str">
        <f ca="1">IFERROR(OFFSET(DistanceToCamp[Nearest Town],MATCH(CampList[[#This Row],[CP_Pcode]],DistanceToCamp[CP_Pcode],0)-1,0,1,1),"")</f>
        <v/>
      </c>
      <c r="AE136" s="227" t="str">
        <f ca="1">IFERROR(OFFSET(DistanceToCamp[distance],MATCH(CampList[[#This Row],[CP_Pcode]],DistanceToCamp[CP_Pcode],0)-1,0,1,1),"")</f>
        <v/>
      </c>
      <c r="AF136" s="228" t="str">
        <f ca="1">IFERROR(INT(CampList[[#This Row],[Distance]]/5)+1,"")</f>
        <v/>
      </c>
    </row>
    <row r="137" spans="2:32" ht="15.75" hidden="1" customHeight="1" x14ac:dyDescent="0.3">
      <c r="B137" s="218" t="s">
        <v>775</v>
      </c>
      <c r="C137" s="212" t="s">
        <v>378</v>
      </c>
      <c r="D137" s="212" t="s">
        <v>478</v>
      </c>
      <c r="E137" s="212" t="s">
        <v>5</v>
      </c>
      <c r="F137" s="212" t="s">
        <v>482</v>
      </c>
      <c r="G137" s="212" t="s">
        <v>151</v>
      </c>
      <c r="H137" s="212" t="s">
        <v>492</v>
      </c>
      <c r="I137" s="226" t="s">
        <v>568</v>
      </c>
      <c r="J137" s="226" t="s">
        <v>569</v>
      </c>
      <c r="K137" s="226"/>
      <c r="L137" s="226"/>
      <c r="M137" s="212" t="s">
        <v>164</v>
      </c>
      <c r="N137" s="212" t="s">
        <v>163</v>
      </c>
      <c r="O137" s="219">
        <v>97.132339999999999</v>
      </c>
      <c r="P137" s="219">
        <v>23.75817</v>
      </c>
      <c r="Q137" s="233"/>
      <c r="R137" s="302">
        <v>0</v>
      </c>
      <c r="S137" s="303">
        <v>0</v>
      </c>
      <c r="T137" s="222" t="str">
        <f>IF(CampList[[#This Row],[HH]]&gt;0,CampList[[#This Row],[Total]]/CampList[[#This Row],[HH]],"NA")</f>
        <v>NA</v>
      </c>
      <c r="U137" s="214" t="s">
        <v>466</v>
      </c>
      <c r="V137" s="214" t="s">
        <v>995</v>
      </c>
      <c r="W137" s="214" t="s">
        <v>507</v>
      </c>
      <c r="X137" s="214"/>
      <c r="Y137" s="234"/>
      <c r="Z137" s="224"/>
      <c r="AA137" s="239" t="s">
        <v>522</v>
      </c>
      <c r="AB137" s="243"/>
      <c r="AC137" s="218" t="s">
        <v>777</v>
      </c>
      <c r="AD137" s="214" t="str">
        <f ca="1">IFERROR(OFFSET(DistanceToCamp[Nearest Town],MATCH(CampList[[#This Row],[CP_Pcode]],DistanceToCamp[CP_Pcode],0)-1,0,1,1),"")</f>
        <v/>
      </c>
      <c r="AE137" s="227" t="str">
        <f ca="1">IFERROR(OFFSET(DistanceToCamp[distance],MATCH(CampList[[#This Row],[CP_Pcode]],DistanceToCamp[CP_Pcode],0)-1,0,1,1),"")</f>
        <v/>
      </c>
      <c r="AF137" s="228" t="str">
        <f ca="1">IFERROR(INT(CampList[[#This Row],[Distance]]/5)+1,"")</f>
        <v/>
      </c>
    </row>
    <row r="138" spans="2:32" ht="15.75" hidden="1" customHeight="1" x14ac:dyDescent="0.3">
      <c r="B138" s="218" t="s">
        <v>775</v>
      </c>
      <c r="C138" s="212" t="s">
        <v>378</v>
      </c>
      <c r="D138" s="212" t="s">
        <v>478</v>
      </c>
      <c r="E138" s="212" t="s">
        <v>237</v>
      </c>
      <c r="F138" s="212" t="s">
        <v>484</v>
      </c>
      <c r="G138" s="212" t="s">
        <v>361</v>
      </c>
      <c r="H138" s="212" t="s">
        <v>501</v>
      </c>
      <c r="I138" s="212"/>
      <c r="J138" s="212"/>
      <c r="K138" s="212"/>
      <c r="L138" s="212"/>
      <c r="M138" s="212" t="s">
        <v>35</v>
      </c>
      <c r="N138" s="212" t="s">
        <v>360</v>
      </c>
      <c r="O138" s="219"/>
      <c r="P138" s="219"/>
      <c r="Q138" s="233"/>
      <c r="R138" s="302">
        <v>0</v>
      </c>
      <c r="S138" s="303">
        <v>0</v>
      </c>
      <c r="T138" s="222" t="str">
        <f>IF(CampList[[#This Row],[HH]]&gt;0,CampList[[#This Row],[Total]]/CampList[[#This Row],[HH]],"NA")</f>
        <v>NA</v>
      </c>
      <c r="U138" s="214" t="s">
        <v>464</v>
      </c>
      <c r="V138" s="214" t="s">
        <v>995</v>
      </c>
      <c r="W138" s="214" t="s">
        <v>507</v>
      </c>
      <c r="X138" s="214"/>
      <c r="Y138" s="234"/>
      <c r="Z138" s="224"/>
      <c r="AA138" s="239"/>
      <c r="AB138" s="225">
        <v>41712</v>
      </c>
      <c r="AC138" s="218" t="s">
        <v>879</v>
      </c>
      <c r="AD138" s="214" t="str">
        <f ca="1">IFERROR(OFFSET(DistanceToCamp[Nearest Town],MATCH(CampList[[#This Row],[CP_Pcode]],DistanceToCamp[CP_Pcode],0)-1,0,1,1),"")</f>
        <v/>
      </c>
      <c r="AE138" s="227" t="str">
        <f ca="1">IFERROR(OFFSET(DistanceToCamp[distance],MATCH(CampList[[#This Row],[CP_Pcode]],DistanceToCamp[CP_Pcode],0)-1,0,1,1),"")</f>
        <v/>
      </c>
      <c r="AF138" s="228" t="str">
        <f ca="1">IFERROR(INT(CampList[[#This Row],[Distance]]/5)+1,"")</f>
        <v/>
      </c>
    </row>
    <row r="139" spans="2:32" ht="15.75" customHeight="1" x14ac:dyDescent="0.3">
      <c r="B139" s="239" t="s">
        <v>460</v>
      </c>
      <c r="C139" s="212" t="s">
        <v>378</v>
      </c>
      <c r="D139" s="212" t="s">
        <v>478</v>
      </c>
      <c r="E139" s="212" t="s">
        <v>237</v>
      </c>
      <c r="F139" s="727" t="s">
        <v>484</v>
      </c>
      <c r="G139" s="727" t="s">
        <v>237</v>
      </c>
      <c r="H139" s="727" t="s">
        <v>488</v>
      </c>
      <c r="I139" s="727" t="s">
        <v>1874</v>
      </c>
      <c r="J139" s="727" t="s">
        <v>1875</v>
      </c>
      <c r="K139" s="212"/>
      <c r="L139" s="212"/>
      <c r="M139" s="212" t="s">
        <v>303</v>
      </c>
      <c r="N139" s="212" t="s">
        <v>302</v>
      </c>
      <c r="O139" s="219"/>
      <c r="P139" s="219"/>
      <c r="Q139" s="233"/>
      <c r="R139" s="329">
        <v>375</v>
      </c>
      <c r="S139" s="330">
        <v>1691</v>
      </c>
      <c r="T139" s="222">
        <f>IF(CampList[[#This Row],[HH]]&gt;0,CampList[[#This Row],[Total]]/CampList[[#This Row],[HH]],"NA")</f>
        <v>4.5093333333333332</v>
      </c>
      <c r="U139" s="214" t="s">
        <v>464</v>
      </c>
      <c r="V139" s="214" t="s">
        <v>995</v>
      </c>
      <c r="W139" s="214" t="s">
        <v>12</v>
      </c>
      <c r="X139" s="214" t="s">
        <v>784</v>
      </c>
      <c r="Y139" s="332">
        <v>41701</v>
      </c>
      <c r="Z139" s="224" t="s">
        <v>1322</v>
      </c>
      <c r="AA139" s="239" t="s">
        <v>522</v>
      </c>
      <c r="AB139" s="225">
        <v>42888</v>
      </c>
      <c r="AC139" s="218" t="s">
        <v>1251</v>
      </c>
      <c r="AD139" s="214" t="str">
        <f ca="1">IFERROR(OFFSET(DistanceToCamp[Nearest Town],MATCH(CampList[[#This Row],[CP_Pcode]],DistanceToCamp[CP_Pcode],0)-1,0,1,1),"")</f>
        <v>Sinbo Town</v>
      </c>
      <c r="AE139" s="227">
        <f ca="1">IFERROR(OFFSET(DistanceToCamp[distance],MATCH(CampList[[#This Row],[CP_Pcode]],DistanceToCamp[CP_Pcode],0)-1,0,1,1),"")</f>
        <v>0</v>
      </c>
      <c r="AF139" s="228">
        <f ca="1">IFERROR(INT(CampList[[#This Row],[Distance]]/5)+1,"")</f>
        <v>1</v>
      </c>
    </row>
    <row r="140" spans="2:32" ht="15.75" customHeight="1" x14ac:dyDescent="0.3">
      <c r="B140" s="218" t="s">
        <v>460</v>
      </c>
      <c r="C140" s="212" t="s">
        <v>378</v>
      </c>
      <c r="D140" s="212" t="s">
        <v>478</v>
      </c>
      <c r="E140" s="212" t="s">
        <v>180</v>
      </c>
      <c r="F140" s="212" t="s">
        <v>479</v>
      </c>
      <c r="G140" s="212" t="s">
        <v>480</v>
      </c>
      <c r="H140" s="212" t="s">
        <v>481</v>
      </c>
      <c r="I140" s="212" t="s">
        <v>959</v>
      </c>
      <c r="J140" s="212" t="s">
        <v>1039</v>
      </c>
      <c r="K140" s="212" t="s">
        <v>1098</v>
      </c>
      <c r="L140" s="238">
        <v>220512</v>
      </c>
      <c r="M140" s="212" t="s">
        <v>88</v>
      </c>
      <c r="N140" s="212" t="s">
        <v>87</v>
      </c>
      <c r="O140" s="219">
        <v>96.705960000000005</v>
      </c>
      <c r="P140" s="219">
        <v>25.51352</v>
      </c>
      <c r="Q140" s="220">
        <v>0</v>
      </c>
      <c r="R140" s="292">
        <v>13</v>
      </c>
      <c r="S140" s="292">
        <v>46</v>
      </c>
      <c r="T140" s="222">
        <f>IF(CampList[[#This Row],[HH]]&gt;0,CampList[[#This Row],[Total]]/CampList[[#This Row],[HH]],"NA")</f>
        <v>3.5384615384615383</v>
      </c>
      <c r="U140" s="214" t="s">
        <v>464</v>
      </c>
      <c r="V140" s="214" t="s">
        <v>995</v>
      </c>
      <c r="W140" s="214" t="s">
        <v>507</v>
      </c>
      <c r="X140" s="214" t="s">
        <v>742</v>
      </c>
      <c r="Y140" s="331">
        <v>41183</v>
      </c>
      <c r="Z140" s="223" t="s">
        <v>424</v>
      </c>
      <c r="AA140" s="239" t="s">
        <v>774</v>
      </c>
      <c r="AB140" s="225">
        <v>43235</v>
      </c>
      <c r="AC140" s="218" t="s">
        <v>1766</v>
      </c>
      <c r="AD140" s="214" t="str">
        <f ca="1">IFERROR(OFFSET(DistanceToCamp[Nearest Town],MATCH(CampList[[#This Row],[CP_Pcode]],DistanceToCamp[CP_Pcode],0)-1,0,1,1),"")</f>
        <v>Kamaing Town</v>
      </c>
      <c r="AE140" s="227">
        <f ca="1">IFERROR(OFFSET(DistanceToCamp[distance],MATCH(CampList[[#This Row],[CP_Pcode]],DistanceToCamp[CP_Pcode],0)-1,0,1,1),"")</f>
        <v>1.1537462444167914</v>
      </c>
      <c r="AF140" s="228">
        <f ca="1">IFERROR(INT(CampList[[#This Row],[Distance]]/5)+1,"")</f>
        <v>1</v>
      </c>
    </row>
    <row r="141" spans="2:32" ht="15.75" customHeight="1" x14ac:dyDescent="0.3">
      <c r="B141" s="218" t="s">
        <v>460</v>
      </c>
      <c r="C141" s="212" t="s">
        <v>378</v>
      </c>
      <c r="D141" s="212" t="s">
        <v>478</v>
      </c>
      <c r="E141" s="212" t="s">
        <v>180</v>
      </c>
      <c r="F141" s="212" t="s">
        <v>479</v>
      </c>
      <c r="G141" s="212" t="s">
        <v>180</v>
      </c>
      <c r="H141" s="212" t="s">
        <v>504</v>
      </c>
      <c r="I141" s="212" t="s">
        <v>556</v>
      </c>
      <c r="J141" s="212" t="s">
        <v>557</v>
      </c>
      <c r="K141" s="212" t="s">
        <v>1876</v>
      </c>
      <c r="L141" s="729">
        <v>166592</v>
      </c>
      <c r="M141" s="212" t="s">
        <v>286</v>
      </c>
      <c r="N141" s="212" t="s">
        <v>285</v>
      </c>
      <c r="O141" s="219">
        <v>96.364949999999993</v>
      </c>
      <c r="P141" s="219">
        <v>24.998349999999999</v>
      </c>
      <c r="Q141" s="220"/>
      <c r="R141" s="292">
        <v>24</v>
      </c>
      <c r="S141" s="292">
        <v>115</v>
      </c>
      <c r="T141" s="222">
        <f>IF(CampList[[#This Row],[HH]]&gt;0,CampList[[#This Row],[Total]]/CampList[[#This Row],[HH]],"NA")</f>
        <v>4.791666666666667</v>
      </c>
      <c r="U141" s="214" t="s">
        <v>464</v>
      </c>
      <c r="V141" s="214" t="s">
        <v>995</v>
      </c>
      <c r="W141" s="214" t="s">
        <v>507</v>
      </c>
      <c r="X141" s="214" t="s">
        <v>784</v>
      </c>
      <c r="Y141" s="331">
        <v>40940</v>
      </c>
      <c r="Z141" s="223" t="s">
        <v>424</v>
      </c>
      <c r="AA141" s="212" t="s">
        <v>774</v>
      </c>
      <c r="AB141" s="225">
        <v>43235</v>
      </c>
      <c r="AC141" s="226" t="s">
        <v>1767</v>
      </c>
      <c r="AD141" s="214" t="str">
        <f ca="1">IFERROR(OFFSET(DistanceToCamp[Nearest Town],MATCH(CampList[[#This Row],[CP_Pcode]],DistanceToCamp[CP_Pcode],0)-1,0,1,1),"")</f>
        <v>Hopin Town</v>
      </c>
      <c r="AE141" s="227">
        <f ca="1">IFERROR(OFFSET(DistanceToCamp[distance],MATCH(CampList[[#This Row],[CP_Pcode]],DistanceToCamp[CP_Pcode],0)-1,0,1,1),"")</f>
        <v>16.668825701583572</v>
      </c>
      <c r="AF141" s="228">
        <f ca="1">IFERROR(INT(CampList[[#This Row],[Distance]]/5)+1,"")</f>
        <v>4</v>
      </c>
    </row>
    <row r="142" spans="2:32" ht="15.75" hidden="1" customHeight="1" x14ac:dyDescent="0.3">
      <c r="B142" s="218" t="s">
        <v>775</v>
      </c>
      <c r="C142" s="212" t="s">
        <v>378</v>
      </c>
      <c r="D142" s="212" t="s">
        <v>478</v>
      </c>
      <c r="E142" s="212" t="s">
        <v>5</v>
      </c>
      <c r="F142" s="212" t="s">
        <v>482</v>
      </c>
      <c r="G142" s="212" t="s">
        <v>5</v>
      </c>
      <c r="H142" s="212" t="s">
        <v>483</v>
      </c>
      <c r="I142" s="212"/>
      <c r="J142" s="212"/>
      <c r="K142" s="212"/>
      <c r="L142" s="212"/>
      <c r="M142" s="212" t="s">
        <v>10</v>
      </c>
      <c r="N142" s="212" t="s">
        <v>9</v>
      </c>
      <c r="O142" s="219"/>
      <c r="P142" s="219"/>
      <c r="Q142" s="233"/>
      <c r="R142" s="302">
        <v>0</v>
      </c>
      <c r="S142" s="303">
        <v>0</v>
      </c>
      <c r="T142" s="222" t="str">
        <f>IF(CampList[[#This Row],[HH]]&gt;0,CampList[[#This Row],[Total]]/CampList[[#This Row],[HH]],"NA")</f>
        <v>NA</v>
      </c>
      <c r="U142" s="214" t="s">
        <v>464</v>
      </c>
      <c r="V142" s="214" t="s">
        <v>995</v>
      </c>
      <c r="W142" s="244" t="s">
        <v>12</v>
      </c>
      <c r="X142" s="214"/>
      <c r="Y142" s="234"/>
      <c r="Z142" s="224"/>
      <c r="AA142" s="321"/>
      <c r="AB142" s="247">
        <v>41666</v>
      </c>
      <c r="AC142" s="226" t="s">
        <v>845</v>
      </c>
      <c r="AD142" s="214" t="str">
        <f ca="1">IFERROR(OFFSET(DistanceToCamp[Nearest Town],MATCH(CampList[[#This Row],[CP_Pcode]],DistanceToCamp[CP_Pcode],0)-1,0,1,1),"")</f>
        <v/>
      </c>
      <c r="AE142" s="227" t="str">
        <f ca="1">IFERROR(OFFSET(DistanceToCamp[distance],MATCH(CampList[[#This Row],[CP_Pcode]],DistanceToCamp[CP_Pcode],0)-1,0,1,1),"")</f>
        <v/>
      </c>
      <c r="AF142" s="228" t="str">
        <f ca="1">IFERROR(INT(CampList[[#This Row],[Distance]]/5)+1,"")</f>
        <v/>
      </c>
    </row>
    <row r="143" spans="2:32" ht="15.75" customHeight="1" x14ac:dyDescent="0.3">
      <c r="B143" s="242" t="s">
        <v>460</v>
      </c>
      <c r="C143" s="213" t="s">
        <v>378</v>
      </c>
      <c r="D143" s="213" t="s">
        <v>478</v>
      </c>
      <c r="E143" s="213" t="s">
        <v>237</v>
      </c>
      <c r="F143" s="213" t="s">
        <v>484</v>
      </c>
      <c r="G143" s="213" t="s">
        <v>309</v>
      </c>
      <c r="H143" s="213" t="s">
        <v>485</v>
      </c>
      <c r="I143" s="229" t="s">
        <v>710</v>
      </c>
      <c r="J143" s="229" t="s">
        <v>709</v>
      </c>
      <c r="K143" s="229" t="s">
        <v>710</v>
      </c>
      <c r="L143" s="229">
        <v>165895</v>
      </c>
      <c r="M143" s="213" t="s">
        <v>353</v>
      </c>
      <c r="N143" s="213" t="s">
        <v>352</v>
      </c>
      <c r="O143" s="221">
        <v>97.990555999999998</v>
      </c>
      <c r="P143" s="221">
        <v>25.265277999999999</v>
      </c>
      <c r="Q143" s="233">
        <v>2764</v>
      </c>
      <c r="R143" s="292">
        <v>88</v>
      </c>
      <c r="S143" s="292">
        <v>558</v>
      </c>
      <c r="T143" s="222">
        <f>IF(CampList[[#This Row],[HH]]&gt;0,CampList[[#This Row],[Total]]/CampList[[#This Row],[HH]],"NA")</f>
        <v>6.3409090909090908</v>
      </c>
      <c r="U143" s="197" t="s">
        <v>466</v>
      </c>
      <c r="V143" s="214" t="s">
        <v>995</v>
      </c>
      <c r="W143" s="197" t="s">
        <v>507</v>
      </c>
      <c r="X143" s="197" t="s">
        <v>785</v>
      </c>
      <c r="Y143" s="332">
        <v>40848</v>
      </c>
      <c r="Z143" s="233" t="s">
        <v>936</v>
      </c>
      <c r="AA143" s="213" t="s">
        <v>774</v>
      </c>
      <c r="AB143" s="225">
        <v>43230</v>
      </c>
      <c r="AC143" s="235" t="s">
        <v>1703</v>
      </c>
      <c r="AD143" s="236" t="str">
        <f ca="1">IFERROR(OFFSET(DistanceToCamp[Nearest Town],MATCH(CampList[[#This Row],[CP_Pcode]],DistanceToCamp[CP_Pcode],0)-1,0,1,1),"")</f>
        <v>Sadung Town</v>
      </c>
      <c r="AE143" s="227">
        <f ca="1">IFERROR(OFFSET(DistanceToCamp[distance],MATCH(CampList[[#This Row],[CP_Pcode]],DistanceToCamp[CP_Pcode],0)-1,0,1,1),"")</f>
        <v>17.035515422123492</v>
      </c>
      <c r="AF143" s="237">
        <f ca="1">IFERROR(INT(CampList[[#This Row],[Distance]]/5)+1,"")</f>
        <v>4</v>
      </c>
    </row>
    <row r="144" spans="2:32" ht="15.75" customHeight="1" x14ac:dyDescent="0.3">
      <c r="B144" s="231" t="s">
        <v>460</v>
      </c>
      <c r="C144" s="213" t="s">
        <v>378</v>
      </c>
      <c r="D144" s="213" t="s">
        <v>478</v>
      </c>
      <c r="E144" s="213" t="s">
        <v>237</v>
      </c>
      <c r="F144" s="213" t="s">
        <v>484</v>
      </c>
      <c r="G144" s="213" t="s">
        <v>237</v>
      </c>
      <c r="H144" s="213" t="s">
        <v>488</v>
      </c>
      <c r="I144" s="213" t="s">
        <v>649</v>
      </c>
      <c r="J144" s="232" t="s">
        <v>650</v>
      </c>
      <c r="K144" s="213" t="s">
        <v>651</v>
      </c>
      <c r="L144" s="213">
        <v>165685</v>
      </c>
      <c r="M144" s="213" t="s">
        <v>272</v>
      </c>
      <c r="N144" s="213" t="s">
        <v>271</v>
      </c>
      <c r="O144" s="221">
        <v>97.4345</v>
      </c>
      <c r="P144" s="221">
        <v>25.493819999999999</v>
      </c>
      <c r="Q144" s="233"/>
      <c r="R144" s="292">
        <v>75</v>
      </c>
      <c r="S144" s="292">
        <v>414</v>
      </c>
      <c r="T144" s="222">
        <f>IF(CampList[[#This Row],[HH]]&gt;0,CampList[[#This Row],[Total]]/CampList[[#This Row],[HH]],"NA")</f>
        <v>5.52</v>
      </c>
      <c r="U144" s="197" t="s">
        <v>464</v>
      </c>
      <c r="V144" s="214" t="s">
        <v>995</v>
      </c>
      <c r="W144" s="197" t="s">
        <v>507</v>
      </c>
      <c r="X144" s="197" t="s">
        <v>742</v>
      </c>
      <c r="Y144" s="332">
        <v>41244</v>
      </c>
      <c r="Z144" s="233" t="s">
        <v>936</v>
      </c>
      <c r="AA144" s="213" t="s">
        <v>774</v>
      </c>
      <c r="AB144" s="225">
        <v>43230</v>
      </c>
      <c r="AC144" s="235" t="s">
        <v>1701</v>
      </c>
      <c r="AD144" s="236" t="str">
        <f ca="1">IFERROR(OFFSET(DistanceToCamp[Nearest Town],MATCH(CampList[[#This Row],[CP_Pcode]],DistanceToCamp[CP_Pcode],0)-1,0,1,1),"")</f>
        <v>Myitkyina Town</v>
      </c>
      <c r="AE144" s="227">
        <f ca="1">IFERROR(OFFSET(DistanceToCamp[distance],MATCH(CampList[[#This Row],[CP_Pcode]],DistanceToCamp[CP_Pcode],0)-1,0,1,1),"")</f>
        <v>12.627188913244609</v>
      </c>
      <c r="AF144" s="237">
        <f ca="1">IFERROR(INT(CampList[[#This Row],[Distance]]/5)+1,"")</f>
        <v>3</v>
      </c>
    </row>
    <row r="145" spans="2:35" ht="15.75" customHeight="1" x14ac:dyDescent="0.3">
      <c r="B145" s="218" t="s">
        <v>460</v>
      </c>
      <c r="C145" s="212" t="s">
        <v>378</v>
      </c>
      <c r="D145" s="212" t="s">
        <v>478</v>
      </c>
      <c r="E145" s="212" t="s">
        <v>5</v>
      </c>
      <c r="F145" s="212" t="s">
        <v>482</v>
      </c>
      <c r="G145" s="212" t="s">
        <v>5</v>
      </c>
      <c r="H145" s="212" t="s">
        <v>483</v>
      </c>
      <c r="I145" s="226" t="s">
        <v>577</v>
      </c>
      <c r="J145" s="226" t="s">
        <v>578</v>
      </c>
      <c r="K145" s="212"/>
      <c r="L145" s="212"/>
      <c r="M145" s="212" t="s">
        <v>12</v>
      </c>
      <c r="N145" s="212" t="s">
        <v>11</v>
      </c>
      <c r="O145" s="219">
        <v>97.228835000000004</v>
      </c>
      <c r="P145" s="219">
        <v>24.263786</v>
      </c>
      <c r="Q145" s="233"/>
      <c r="R145" s="330">
        <v>190</v>
      </c>
      <c r="S145" s="330">
        <v>928</v>
      </c>
      <c r="T145" s="222">
        <f>IF(CampList[[#This Row],[HH]]&gt;0,CampList[[#This Row],[Total]]/CampList[[#This Row],[HH]],"NA")</f>
        <v>4.8842105263157896</v>
      </c>
      <c r="U145" s="214" t="s">
        <v>464</v>
      </c>
      <c r="V145" s="214" t="s">
        <v>995</v>
      </c>
      <c r="W145" s="244" t="s">
        <v>12</v>
      </c>
      <c r="X145" s="214" t="s">
        <v>742</v>
      </c>
      <c r="Y145" s="332"/>
      <c r="Z145" s="224" t="s">
        <v>1322</v>
      </c>
      <c r="AA145" s="239" t="s">
        <v>774</v>
      </c>
      <c r="AB145" s="247">
        <v>43090</v>
      </c>
      <c r="AC145" s="218" t="s">
        <v>1393</v>
      </c>
      <c r="AD145" s="214" t="str">
        <f ca="1">IFERROR(OFFSET(DistanceToCamp[Nearest Town],MATCH(CampList[[#This Row],[CP_Pcode]],DistanceToCamp[CP_Pcode],0)-1,0,1,1),"")</f>
        <v>Bhamo Town</v>
      </c>
      <c r="AE145" s="227">
        <f ca="1">IFERROR(OFFSET(DistanceToCamp[distance],MATCH(CampList[[#This Row],[CP_Pcode]],DistanceToCamp[CP_Pcode],0)-1,0,1,1),"")</f>
        <v>1.1354007641426449</v>
      </c>
      <c r="AF145" s="228">
        <f ca="1">IFERROR(INT(CampList[[#This Row],[Distance]]/5)+1,"")</f>
        <v>1</v>
      </c>
    </row>
    <row r="146" spans="2:35" ht="15.75" customHeight="1" x14ac:dyDescent="0.3">
      <c r="B146" s="218" t="s">
        <v>460</v>
      </c>
      <c r="C146" s="212" t="s">
        <v>378</v>
      </c>
      <c r="D146" s="212" t="s">
        <v>478</v>
      </c>
      <c r="E146" s="212" t="s">
        <v>180</v>
      </c>
      <c r="F146" s="212" t="s">
        <v>479</v>
      </c>
      <c r="G146" s="212" t="s">
        <v>480</v>
      </c>
      <c r="H146" s="212" t="s">
        <v>481</v>
      </c>
      <c r="I146" s="212" t="s">
        <v>543</v>
      </c>
      <c r="J146" s="212" t="s">
        <v>544</v>
      </c>
      <c r="K146" s="212" t="s">
        <v>547</v>
      </c>
      <c r="L146" s="212" t="s">
        <v>548</v>
      </c>
      <c r="M146" s="212" t="s">
        <v>92</v>
      </c>
      <c r="N146" s="212" t="s">
        <v>91</v>
      </c>
      <c r="O146" s="219">
        <v>96.316400000000002</v>
      </c>
      <c r="P146" s="219">
        <v>25.61842</v>
      </c>
      <c r="Q146" s="220">
        <v>250</v>
      </c>
      <c r="R146" s="292">
        <v>12</v>
      </c>
      <c r="S146" s="292">
        <v>61</v>
      </c>
      <c r="T146" s="222">
        <f>IF(CampList[[#This Row],[HH]]&gt;0,CampList[[#This Row],[Total]]/CampList[[#This Row],[HH]],"NA")</f>
        <v>5.083333333333333</v>
      </c>
      <c r="U146" s="214" t="s">
        <v>464</v>
      </c>
      <c r="V146" s="214" t="s">
        <v>995</v>
      </c>
      <c r="W146" s="214" t="s">
        <v>507</v>
      </c>
      <c r="X146" s="214" t="s">
        <v>742</v>
      </c>
      <c r="Y146" s="331">
        <v>41275</v>
      </c>
      <c r="Z146" s="223" t="s">
        <v>462</v>
      </c>
      <c r="AA146" s="239" t="s">
        <v>774</v>
      </c>
      <c r="AB146" s="225">
        <v>43235</v>
      </c>
      <c r="AC146" s="218" t="s">
        <v>1714</v>
      </c>
      <c r="AD146" s="214" t="str">
        <f ca="1">IFERROR(OFFSET(DistanceToCamp[Nearest Town],MATCH(CampList[[#This Row],[CP_Pcode]],DistanceToCamp[CP_Pcode],0)-1,0,1,1),"")</f>
        <v>Hpakant Town</v>
      </c>
      <c r="AE146" s="227">
        <f ca="1">IFERROR(OFFSET(DistanceToCamp[distance],MATCH(CampList[[#This Row],[CP_Pcode]],DistanceToCamp[CP_Pcode],0)-1,0,1,1),"")</f>
        <v>0.75842119772531946</v>
      </c>
      <c r="AF146" s="228">
        <f ca="1">IFERROR(INT(CampList[[#This Row],[Distance]]/5)+1,"")</f>
        <v>1</v>
      </c>
    </row>
    <row r="147" spans="2:35" ht="15.75" customHeight="1" x14ac:dyDescent="0.3">
      <c r="B147" s="218" t="s">
        <v>460</v>
      </c>
      <c r="C147" s="212" t="s">
        <v>378</v>
      </c>
      <c r="D147" s="212" t="s">
        <v>478</v>
      </c>
      <c r="E147" s="212" t="s">
        <v>180</v>
      </c>
      <c r="F147" s="212" t="s">
        <v>479</v>
      </c>
      <c r="G147" s="212" t="s">
        <v>480</v>
      </c>
      <c r="H147" s="212" t="s">
        <v>481</v>
      </c>
      <c r="I147" s="226" t="s">
        <v>552</v>
      </c>
      <c r="J147" s="226" t="s">
        <v>553</v>
      </c>
      <c r="K147" s="226" t="s">
        <v>552</v>
      </c>
      <c r="L147" s="226">
        <v>166773</v>
      </c>
      <c r="M147" s="212" t="s">
        <v>120</v>
      </c>
      <c r="N147" s="212" t="s">
        <v>119</v>
      </c>
      <c r="O147" s="219">
        <v>96.361609999999999</v>
      </c>
      <c r="P147" s="219">
        <v>25.656009999999998</v>
      </c>
      <c r="Q147" s="220">
        <v>317</v>
      </c>
      <c r="R147" s="292">
        <v>64</v>
      </c>
      <c r="S147" s="292">
        <v>324</v>
      </c>
      <c r="T147" s="222">
        <f>IF(CampList[[#This Row],[HH]]&gt;0,CampList[[#This Row],[Total]]/CampList[[#This Row],[HH]],"NA")</f>
        <v>5.0625</v>
      </c>
      <c r="U147" s="214" t="s">
        <v>464</v>
      </c>
      <c r="V147" s="214" t="s">
        <v>995</v>
      </c>
      <c r="W147" s="214" t="s">
        <v>507</v>
      </c>
      <c r="X147" s="214" t="s">
        <v>784</v>
      </c>
      <c r="Y147" s="331">
        <v>41275</v>
      </c>
      <c r="Z147" s="223" t="s">
        <v>936</v>
      </c>
      <c r="AA147" s="239" t="s">
        <v>774</v>
      </c>
      <c r="AB147" s="225">
        <v>43230</v>
      </c>
      <c r="AC147" s="218" t="s">
        <v>1690</v>
      </c>
      <c r="AD147" s="214" t="str">
        <f ca="1">IFERROR(OFFSET(DistanceToCamp[Nearest Town],MATCH(CampList[[#This Row],[CP_Pcode]],DistanceToCamp[CP_Pcode],0)-1,0,1,1),"")</f>
        <v>Hpakant Town</v>
      </c>
      <c r="AE147" s="227">
        <f ca="1">IFERROR(OFFSET(DistanceToCamp[distance],MATCH(CampList[[#This Row],[CP_Pcode]],DistanceToCamp[CP_Pcode],0)-1,0,1,1),"")</f>
        <v>6.3039408411778268</v>
      </c>
      <c r="AF147" s="228">
        <f ca="1">IFERROR(INT(CampList[[#This Row],[Distance]]/5)+1,"")</f>
        <v>2</v>
      </c>
    </row>
    <row r="148" spans="2:35" ht="15.75" customHeight="1" x14ac:dyDescent="0.3">
      <c r="B148" s="218" t="s">
        <v>460</v>
      </c>
      <c r="C148" s="212" t="s">
        <v>378</v>
      </c>
      <c r="D148" s="212" t="s">
        <v>478</v>
      </c>
      <c r="E148" s="212" t="s">
        <v>180</v>
      </c>
      <c r="F148" s="212" t="s">
        <v>479</v>
      </c>
      <c r="G148" s="212" t="s">
        <v>480</v>
      </c>
      <c r="H148" s="212" t="s">
        <v>481</v>
      </c>
      <c r="I148" s="226" t="s">
        <v>552</v>
      </c>
      <c r="J148" s="226" t="s">
        <v>553</v>
      </c>
      <c r="K148" s="226" t="s">
        <v>554</v>
      </c>
      <c r="L148" s="226">
        <v>166775</v>
      </c>
      <c r="M148" s="212" t="s">
        <v>52</v>
      </c>
      <c r="N148" s="212" t="s">
        <v>51</v>
      </c>
      <c r="O148" s="219">
        <v>96.346469999999997</v>
      </c>
      <c r="P148" s="219">
        <v>25.647649999999999</v>
      </c>
      <c r="Q148" s="220">
        <v>0</v>
      </c>
      <c r="R148" s="292">
        <v>36</v>
      </c>
      <c r="S148" s="292">
        <v>228</v>
      </c>
      <c r="T148" s="222">
        <f>IF(CampList[[#This Row],[HH]]&gt;0,CampList[[#This Row],[Total]]/CampList[[#This Row],[HH]],"NA")</f>
        <v>6.333333333333333</v>
      </c>
      <c r="U148" s="214" t="s">
        <v>464</v>
      </c>
      <c r="V148" s="214" t="s">
        <v>995</v>
      </c>
      <c r="W148" s="214" t="s">
        <v>507</v>
      </c>
      <c r="X148" s="214" t="s">
        <v>784</v>
      </c>
      <c r="Y148" s="331">
        <v>41275</v>
      </c>
      <c r="Z148" s="223" t="s">
        <v>424</v>
      </c>
      <c r="AA148" s="239" t="s">
        <v>774</v>
      </c>
      <c r="AB148" s="225">
        <v>43235</v>
      </c>
      <c r="AC148" s="218" t="s">
        <v>1768</v>
      </c>
      <c r="AD148" s="214" t="str">
        <f ca="1">IFERROR(OFFSET(DistanceToCamp[Nearest Town],MATCH(CampList[[#This Row],[CP_Pcode]],DistanceToCamp[CP_Pcode],0)-1,0,1,1),"")</f>
        <v>Hpakant Town</v>
      </c>
      <c r="AE148" s="227">
        <f ca="1">IFERROR(OFFSET(DistanceToCamp[distance],MATCH(CampList[[#This Row],[CP_Pcode]],DistanceToCamp[CP_Pcode],0)-1,0,1,1),"")</f>
        <v>5.184483270539272</v>
      </c>
      <c r="AF148" s="228">
        <f ca="1">IFERROR(INT(CampList[[#This Row],[Distance]]/5)+1,"")</f>
        <v>2</v>
      </c>
    </row>
    <row r="149" spans="2:35" ht="15.75" hidden="1" customHeight="1" x14ac:dyDescent="0.3">
      <c r="B149" s="218" t="s">
        <v>775</v>
      </c>
      <c r="C149" s="212" t="s">
        <v>378</v>
      </c>
      <c r="D149" s="212" t="s">
        <v>478</v>
      </c>
      <c r="E149" s="212" t="s">
        <v>180</v>
      </c>
      <c r="F149" s="212" t="s">
        <v>479</v>
      </c>
      <c r="G149" s="212" t="s">
        <v>480</v>
      </c>
      <c r="H149" s="212" t="s">
        <v>481</v>
      </c>
      <c r="I149" s="226" t="s">
        <v>552</v>
      </c>
      <c r="J149" s="226" t="s">
        <v>553</v>
      </c>
      <c r="K149" s="226" t="s">
        <v>700</v>
      </c>
      <c r="L149" s="226">
        <v>216877</v>
      </c>
      <c r="M149" s="212" t="s">
        <v>48</v>
      </c>
      <c r="N149" s="212" t="s">
        <v>47</v>
      </c>
      <c r="O149" s="219">
        <v>96.339870000000005</v>
      </c>
      <c r="P149" s="219">
        <v>25.655989999999999</v>
      </c>
      <c r="Q149" s="233"/>
      <c r="R149" s="302"/>
      <c r="S149" s="303"/>
      <c r="T149" s="222" t="str">
        <f>IF(CampList[[#This Row],[HH]]&gt;0,CampList[[#This Row],[Total]]/CampList[[#This Row],[HH]],"NA")</f>
        <v>NA</v>
      </c>
      <c r="U149" s="214" t="s">
        <v>464</v>
      </c>
      <c r="V149" s="214" t="s">
        <v>995</v>
      </c>
      <c r="W149" s="214" t="s">
        <v>507</v>
      </c>
      <c r="X149" s="214"/>
      <c r="Y149" s="234"/>
      <c r="Z149" s="224"/>
      <c r="AA149" s="239"/>
      <c r="AB149" s="243"/>
      <c r="AC149" s="218" t="s">
        <v>541</v>
      </c>
      <c r="AD149" s="214" t="str">
        <f ca="1">IFERROR(OFFSET(DistanceToCamp[Nearest Town],MATCH(CampList[[#This Row],[CP_Pcode]],DistanceToCamp[CP_Pcode],0)-1,0,1,1),"")</f>
        <v/>
      </c>
      <c r="AE149" s="227" t="str">
        <f ca="1">IFERROR(OFFSET(DistanceToCamp[distance],MATCH(CampList[[#This Row],[CP_Pcode]],DistanceToCamp[CP_Pcode],0)-1,0,1,1),"")</f>
        <v/>
      </c>
      <c r="AF149" s="228" t="str">
        <f ca="1">IFERROR(INT(CampList[[#This Row],[Distance]]/5)+1,"")</f>
        <v/>
      </c>
    </row>
    <row r="150" spans="2:35" ht="15.75" hidden="1" customHeight="1" x14ac:dyDescent="0.3">
      <c r="B150" s="218" t="s">
        <v>775</v>
      </c>
      <c r="C150" s="212" t="s">
        <v>378</v>
      </c>
      <c r="D150" s="212" t="s">
        <v>478</v>
      </c>
      <c r="E150" s="212" t="s">
        <v>180</v>
      </c>
      <c r="F150" s="212" t="s">
        <v>479</v>
      </c>
      <c r="G150" s="212" t="s">
        <v>480</v>
      </c>
      <c r="H150" s="212" t="s">
        <v>481</v>
      </c>
      <c r="I150" s="226" t="s">
        <v>552</v>
      </c>
      <c r="J150" s="226" t="s">
        <v>553</v>
      </c>
      <c r="K150" s="226" t="s">
        <v>552</v>
      </c>
      <c r="L150" s="226">
        <v>166773</v>
      </c>
      <c r="M150" s="212" t="s">
        <v>128</v>
      </c>
      <c r="N150" s="212" t="s">
        <v>127</v>
      </c>
      <c r="O150" s="219">
        <v>96.359549999999999</v>
      </c>
      <c r="P150" s="219">
        <v>25.658650000000002</v>
      </c>
      <c r="Q150" s="233"/>
      <c r="R150" s="302">
        <v>0</v>
      </c>
      <c r="S150" s="303">
        <v>0</v>
      </c>
      <c r="T150" s="222" t="str">
        <f>IF(CampList[[#This Row],[HH]]&gt;0,CampList[[#This Row],[Total]]/CampList[[#This Row],[HH]],"NA")</f>
        <v>NA</v>
      </c>
      <c r="U150" s="214" t="s">
        <v>464</v>
      </c>
      <c r="V150" s="214" t="s">
        <v>995</v>
      </c>
      <c r="W150" s="214" t="s">
        <v>507</v>
      </c>
      <c r="X150" s="214"/>
      <c r="Y150" s="234"/>
      <c r="Z150" s="224"/>
      <c r="AA150" s="239"/>
      <c r="AB150" s="243"/>
      <c r="AC150" s="218" t="s">
        <v>541</v>
      </c>
      <c r="AD150" s="214" t="str">
        <f ca="1">IFERROR(OFFSET(DistanceToCamp[Nearest Town],MATCH(CampList[[#This Row],[CP_Pcode]],DistanceToCamp[CP_Pcode],0)-1,0,1,1),"")</f>
        <v/>
      </c>
      <c r="AE150" s="227" t="str">
        <f ca="1">IFERROR(OFFSET(DistanceToCamp[distance],MATCH(CampList[[#This Row],[CP_Pcode]],DistanceToCamp[CP_Pcode],0)-1,0,1,1),"")</f>
        <v/>
      </c>
      <c r="AF150" s="228" t="str">
        <f ca="1">IFERROR(INT(CampList[[#This Row],[Distance]]/5)+1,"")</f>
        <v/>
      </c>
    </row>
    <row r="151" spans="2:35" ht="15.75" hidden="1" customHeight="1" x14ac:dyDescent="0.3">
      <c r="B151" s="218" t="s">
        <v>775</v>
      </c>
      <c r="C151" s="212" t="s">
        <v>378</v>
      </c>
      <c r="D151" s="212" t="s">
        <v>478</v>
      </c>
      <c r="E151" s="212" t="s">
        <v>180</v>
      </c>
      <c r="F151" s="212" t="s">
        <v>479</v>
      </c>
      <c r="G151" s="212" t="s">
        <v>480</v>
      </c>
      <c r="H151" s="212" t="s">
        <v>481</v>
      </c>
      <c r="I151" s="226" t="s">
        <v>552</v>
      </c>
      <c r="J151" s="226" t="s">
        <v>553</v>
      </c>
      <c r="K151" s="226" t="s">
        <v>555</v>
      </c>
      <c r="L151" s="226">
        <v>216880</v>
      </c>
      <c r="M151" s="212" t="s">
        <v>60</v>
      </c>
      <c r="N151" s="212" t="s">
        <v>59</v>
      </c>
      <c r="O151" s="219">
        <v>96.353070000000002</v>
      </c>
      <c r="P151" s="219">
        <v>25.668469999999999</v>
      </c>
      <c r="Q151" s="220">
        <v>256</v>
      </c>
      <c r="R151" s="302"/>
      <c r="S151" s="303"/>
      <c r="T151" s="222" t="str">
        <f>IF(CampList[[#This Row],[HH]]&gt;0,CampList[[#This Row],[Total]]/CampList[[#This Row],[HH]],"NA")</f>
        <v>NA</v>
      </c>
      <c r="U151" s="214" t="s">
        <v>464</v>
      </c>
      <c r="V151" s="214" t="s">
        <v>995</v>
      </c>
      <c r="W151" s="214" t="s">
        <v>507</v>
      </c>
      <c r="X151" s="214" t="s">
        <v>784</v>
      </c>
      <c r="Y151" s="223">
        <v>41275</v>
      </c>
      <c r="Z151" s="223"/>
      <c r="AA151" s="239" t="s">
        <v>773</v>
      </c>
      <c r="AB151" s="225">
        <v>41774</v>
      </c>
      <c r="AC151" s="218" t="s">
        <v>896</v>
      </c>
      <c r="AD151" s="214" t="str">
        <f ca="1">IFERROR(OFFSET(DistanceToCamp[Nearest Town],MATCH(CampList[[#This Row],[CP_Pcode]],DistanceToCamp[CP_Pcode],0)-1,0,1,1),"")</f>
        <v/>
      </c>
      <c r="AE151" s="227" t="str">
        <f ca="1">IFERROR(OFFSET(DistanceToCamp[distance],MATCH(CampList[[#This Row],[CP_Pcode]],DistanceToCamp[CP_Pcode],0)-1,0,1,1),"")</f>
        <v/>
      </c>
      <c r="AF151" s="228" t="str">
        <f ca="1">IFERROR(INT(CampList[[#This Row],[Distance]]/5)+1,"")</f>
        <v/>
      </c>
    </row>
    <row r="152" spans="2:35" ht="15.75" hidden="1" customHeight="1" x14ac:dyDescent="0.3">
      <c r="B152" s="218" t="s">
        <v>775</v>
      </c>
      <c r="C152" s="212" t="s">
        <v>378</v>
      </c>
      <c r="D152" s="212" t="s">
        <v>478</v>
      </c>
      <c r="E152" s="212" t="s">
        <v>180</v>
      </c>
      <c r="F152" s="212" t="s">
        <v>479</v>
      </c>
      <c r="G152" s="212" t="s">
        <v>480</v>
      </c>
      <c r="H152" s="212" t="s">
        <v>481</v>
      </c>
      <c r="I152" s="226" t="s">
        <v>552</v>
      </c>
      <c r="J152" s="226" t="s">
        <v>553</v>
      </c>
      <c r="K152" s="226" t="s">
        <v>554</v>
      </c>
      <c r="L152" s="226">
        <v>166775</v>
      </c>
      <c r="M152" s="212" t="s">
        <v>39</v>
      </c>
      <c r="N152" s="212" t="s">
        <v>38</v>
      </c>
      <c r="O152" s="219"/>
      <c r="P152" s="219"/>
      <c r="Q152" s="233"/>
      <c r="R152" s="302"/>
      <c r="S152" s="303"/>
      <c r="T152" s="222" t="str">
        <f>IF(CampList[[#This Row],[HH]]&gt;0,CampList[[#This Row],[Total]]/CampList[[#This Row],[HH]],"NA")</f>
        <v>NA</v>
      </c>
      <c r="U152" s="214" t="s">
        <v>464</v>
      </c>
      <c r="V152" s="214" t="s">
        <v>995</v>
      </c>
      <c r="W152" s="214" t="s">
        <v>507</v>
      </c>
      <c r="X152" s="214"/>
      <c r="Y152" s="234"/>
      <c r="Z152" s="224"/>
      <c r="AA152" s="239"/>
      <c r="AB152" s="243"/>
      <c r="AC152" s="218" t="s">
        <v>541</v>
      </c>
      <c r="AD152" s="214" t="str">
        <f ca="1">IFERROR(OFFSET(DistanceToCamp[Nearest Town],MATCH(CampList[[#This Row],[CP_Pcode]],DistanceToCamp[CP_Pcode],0)-1,0,1,1),"")</f>
        <v/>
      </c>
      <c r="AE152" s="227" t="str">
        <f ca="1">IFERROR(OFFSET(DistanceToCamp[distance],MATCH(CampList[[#This Row],[CP_Pcode]],DistanceToCamp[CP_Pcode],0)-1,0,1,1),"")</f>
        <v/>
      </c>
      <c r="AF152" s="228" t="str">
        <f ca="1">IFERROR(INT(CampList[[#This Row],[Distance]]/5)+1,"")</f>
        <v/>
      </c>
    </row>
    <row r="153" spans="2:35" ht="15.75" customHeight="1" x14ac:dyDescent="0.3">
      <c r="B153" s="218" t="s">
        <v>460</v>
      </c>
      <c r="C153" s="212" t="s">
        <v>378</v>
      </c>
      <c r="D153" s="212" t="s">
        <v>478</v>
      </c>
      <c r="E153" s="212" t="s">
        <v>180</v>
      </c>
      <c r="F153" s="212" t="s">
        <v>479</v>
      </c>
      <c r="G153" s="212" t="s">
        <v>480</v>
      </c>
      <c r="H153" s="212" t="s">
        <v>481</v>
      </c>
      <c r="I153" s="226" t="s">
        <v>552</v>
      </c>
      <c r="J153" s="226" t="s">
        <v>553</v>
      </c>
      <c r="K153" s="226" t="s">
        <v>1096</v>
      </c>
      <c r="L153" s="238">
        <v>216876</v>
      </c>
      <c r="M153" s="212" t="s">
        <v>76</v>
      </c>
      <c r="N153" s="212" t="s">
        <v>75</v>
      </c>
      <c r="O153" s="219">
        <v>96.35257</v>
      </c>
      <c r="P153" s="219">
        <v>25.637309999999999</v>
      </c>
      <c r="Q153" s="220">
        <v>277.60000000000002</v>
      </c>
      <c r="R153" s="292">
        <v>70</v>
      </c>
      <c r="S153" s="292">
        <v>375</v>
      </c>
      <c r="T153" s="222">
        <f>IF(CampList[[#This Row],[HH]]&gt;0,CampList[[#This Row],[Total]]/CampList[[#This Row],[HH]],"NA")</f>
        <v>5.3571428571428568</v>
      </c>
      <c r="U153" s="214" t="s">
        <v>464</v>
      </c>
      <c r="V153" s="214" t="s">
        <v>995</v>
      </c>
      <c r="W153" s="214" t="s">
        <v>507</v>
      </c>
      <c r="X153" s="197" t="s">
        <v>742</v>
      </c>
      <c r="Y153" s="331">
        <v>41275</v>
      </c>
      <c r="Z153" s="223" t="s">
        <v>462</v>
      </c>
      <c r="AA153" s="239" t="s">
        <v>774</v>
      </c>
      <c r="AB153" s="225">
        <v>43235</v>
      </c>
      <c r="AC153" s="218" t="s">
        <v>1710</v>
      </c>
      <c r="AD153" s="214" t="str">
        <f ca="1">IFERROR(OFFSET(DistanceToCamp[Nearest Town],MATCH(CampList[[#This Row],[CP_Pcode]],DistanceToCamp[CP_Pcode],0)-1,0,1,1),"")</f>
        <v>Hpakant Town</v>
      </c>
      <c r="AE153" s="227">
        <f ca="1">IFERROR(OFFSET(DistanceToCamp[distance],MATCH(CampList[[#This Row],[CP_Pcode]],DistanceToCamp[CP_Pcode],0)-1,0,1,1),"")</f>
        <v>4.8862832644478198</v>
      </c>
      <c r="AF153" s="228">
        <f ca="1">IFERROR(INT(CampList[[#This Row],[Distance]]/5)+1,"")</f>
        <v>1</v>
      </c>
    </row>
    <row r="154" spans="2:35" ht="15.75" hidden="1" customHeight="1" x14ac:dyDescent="0.3">
      <c r="B154" s="218" t="s">
        <v>775</v>
      </c>
      <c r="C154" s="212" t="s">
        <v>378</v>
      </c>
      <c r="D154" s="212" t="s">
        <v>478</v>
      </c>
      <c r="E154" s="212" t="s">
        <v>180</v>
      </c>
      <c r="F154" s="212" t="s">
        <v>479</v>
      </c>
      <c r="G154" s="212" t="s">
        <v>480</v>
      </c>
      <c r="H154" s="212" t="s">
        <v>481</v>
      </c>
      <c r="I154" s="226" t="s">
        <v>543</v>
      </c>
      <c r="J154" s="226" t="s">
        <v>544</v>
      </c>
      <c r="K154" s="226" t="s">
        <v>641</v>
      </c>
      <c r="L154" s="226" t="s">
        <v>642</v>
      </c>
      <c r="M154" s="212" t="s">
        <v>74</v>
      </c>
      <c r="N154" s="212" t="s">
        <v>73</v>
      </c>
      <c r="O154" s="219"/>
      <c r="P154" s="219"/>
      <c r="Q154" s="233"/>
      <c r="R154" s="302"/>
      <c r="S154" s="303"/>
      <c r="T154" s="222" t="str">
        <f>IF(CampList[[#This Row],[HH]]&gt;0,CampList[[#This Row],[Total]]/CampList[[#This Row],[HH]],"NA")</f>
        <v>NA</v>
      </c>
      <c r="U154" s="214" t="s">
        <v>464</v>
      </c>
      <c r="V154" s="214" t="s">
        <v>995</v>
      </c>
      <c r="W154" s="214" t="s">
        <v>507</v>
      </c>
      <c r="X154" s="214"/>
      <c r="Y154" s="234"/>
      <c r="Z154" s="224"/>
      <c r="AA154" s="239"/>
      <c r="AB154" s="243"/>
      <c r="AC154" s="218" t="s">
        <v>541</v>
      </c>
      <c r="AD154" s="214" t="str">
        <f ca="1">IFERROR(OFFSET(DistanceToCamp[Nearest Town],MATCH(CampList[[#This Row],[CP_Pcode]],DistanceToCamp[CP_Pcode],0)-1,0,1,1),"")</f>
        <v/>
      </c>
      <c r="AE154" s="227" t="str">
        <f ca="1">IFERROR(OFFSET(DistanceToCamp[distance],MATCH(CampList[[#This Row],[CP_Pcode]],DistanceToCamp[CP_Pcode],0)-1,0,1,1),"")</f>
        <v/>
      </c>
      <c r="AF154" s="228" t="str">
        <f ca="1">IFERROR(INT(CampList[[#This Row],[Distance]]/5)+1,"")</f>
        <v/>
      </c>
    </row>
    <row r="155" spans="2:35" ht="15.75" customHeight="1" x14ac:dyDescent="0.3">
      <c r="B155" s="218" t="s">
        <v>460</v>
      </c>
      <c r="C155" s="212" t="s">
        <v>378</v>
      </c>
      <c r="D155" s="212" t="s">
        <v>478</v>
      </c>
      <c r="E155" s="212" t="s">
        <v>180</v>
      </c>
      <c r="F155" s="212" t="s">
        <v>479</v>
      </c>
      <c r="G155" s="212" t="s">
        <v>480</v>
      </c>
      <c r="H155" s="212" t="s">
        <v>481</v>
      </c>
      <c r="I155" s="226" t="s">
        <v>552</v>
      </c>
      <c r="J155" s="226" t="s">
        <v>553</v>
      </c>
      <c r="K155" s="226" t="s">
        <v>552</v>
      </c>
      <c r="L155" s="229">
        <v>166773</v>
      </c>
      <c r="M155" s="212" t="s">
        <v>41</v>
      </c>
      <c r="N155" s="212" t="s">
        <v>40</v>
      </c>
      <c r="O155" s="219">
        <v>96.345569999999995</v>
      </c>
      <c r="P155" s="219">
        <v>25.635300000000001</v>
      </c>
      <c r="Q155" s="220">
        <v>0</v>
      </c>
      <c r="R155" s="292">
        <v>65</v>
      </c>
      <c r="S155" s="292">
        <v>353</v>
      </c>
      <c r="T155" s="222">
        <f>IF(CampList[[#This Row],[HH]]&gt;0,CampList[[#This Row],[Total]]/CampList[[#This Row],[HH]],"NA")</f>
        <v>5.430769230769231</v>
      </c>
      <c r="U155" s="214" t="s">
        <v>464</v>
      </c>
      <c r="V155" s="214" t="s">
        <v>995</v>
      </c>
      <c r="W155" s="214" t="s">
        <v>507</v>
      </c>
      <c r="X155" s="214" t="s">
        <v>742</v>
      </c>
      <c r="Y155" s="331">
        <v>41275</v>
      </c>
      <c r="Z155" s="223" t="s">
        <v>462</v>
      </c>
      <c r="AA155" s="239" t="s">
        <v>774</v>
      </c>
      <c r="AB155" s="225">
        <v>43235</v>
      </c>
      <c r="AC155" s="218" t="s">
        <v>1707</v>
      </c>
      <c r="AD155" s="214" t="str">
        <f ca="1">IFERROR(OFFSET(DistanceToCamp[Nearest Town],MATCH(CampList[[#This Row],[CP_Pcode]],DistanceToCamp[CP_Pcode],0)-1,0,1,1),"")</f>
        <v>Hpakant Town</v>
      </c>
      <c r="AE155" s="227">
        <f ca="1">IFERROR(OFFSET(DistanceToCamp[distance],MATCH(CampList[[#This Row],[CP_Pcode]],DistanceToCamp[CP_Pcode],0)-1,0,1,1),"")</f>
        <v>4.1842484710239098</v>
      </c>
      <c r="AF155" s="228">
        <f ca="1">IFERROR(INT(CampList[[#This Row],[Distance]]/5)+1,"")</f>
        <v>1</v>
      </c>
    </row>
    <row r="156" spans="2:35" ht="15.75" hidden="1" customHeight="1" x14ac:dyDescent="0.3">
      <c r="B156" s="218" t="s">
        <v>775</v>
      </c>
      <c r="C156" s="212" t="s">
        <v>378</v>
      </c>
      <c r="D156" s="212" t="s">
        <v>478</v>
      </c>
      <c r="E156" s="212" t="s">
        <v>180</v>
      </c>
      <c r="F156" s="212" t="s">
        <v>479</v>
      </c>
      <c r="G156" s="212" t="s">
        <v>480</v>
      </c>
      <c r="H156" s="212" t="s">
        <v>481</v>
      </c>
      <c r="I156" s="226" t="s">
        <v>552</v>
      </c>
      <c r="J156" s="226" t="s">
        <v>553</v>
      </c>
      <c r="K156" s="226" t="s">
        <v>552</v>
      </c>
      <c r="L156" s="226">
        <v>166773</v>
      </c>
      <c r="M156" s="212" t="s">
        <v>142</v>
      </c>
      <c r="N156" s="212" t="s">
        <v>141</v>
      </c>
      <c r="O156" s="219">
        <v>96.354159999999993</v>
      </c>
      <c r="P156" s="219">
        <v>25.658670000000001</v>
      </c>
      <c r="Q156" s="220">
        <v>0</v>
      </c>
      <c r="R156" s="302">
        <v>0</v>
      </c>
      <c r="S156" s="303">
        <v>0</v>
      </c>
      <c r="T156" s="222" t="str">
        <f>IF(CampList[[#This Row],[HH]]&gt;0,CampList[[#This Row],[Total]]/CampList[[#This Row],[HH]],"NA")</f>
        <v>NA</v>
      </c>
      <c r="U156" s="214" t="s">
        <v>464</v>
      </c>
      <c r="V156" s="214" t="s">
        <v>995</v>
      </c>
      <c r="W156" s="214" t="s">
        <v>507</v>
      </c>
      <c r="X156" s="214" t="s">
        <v>784</v>
      </c>
      <c r="Y156" s="223">
        <v>41275</v>
      </c>
      <c r="Z156" s="223"/>
      <c r="AA156" s="239" t="s">
        <v>773</v>
      </c>
      <c r="AB156" s="225">
        <v>41774</v>
      </c>
      <c r="AC156" s="218" t="s">
        <v>898</v>
      </c>
      <c r="AD156" s="214" t="str">
        <f ca="1">IFERROR(OFFSET(DistanceToCamp[Nearest Town],MATCH(CampList[[#This Row],[CP_Pcode]],DistanceToCamp[CP_Pcode],0)-1,0,1,1),"")</f>
        <v/>
      </c>
      <c r="AE156" s="227" t="str">
        <f ca="1">IFERROR(OFFSET(DistanceToCamp[distance],MATCH(CampList[[#This Row],[CP_Pcode]],DistanceToCamp[CP_Pcode],0)-1,0,1,1),"")</f>
        <v/>
      </c>
      <c r="AF156" s="228" t="str">
        <f ca="1">IFERROR(INT(CampList[[#This Row],[Distance]]/5)+1,"")</f>
        <v/>
      </c>
    </row>
    <row r="157" spans="2:35" ht="15.75" hidden="1" customHeight="1" x14ac:dyDescent="0.3">
      <c r="B157" s="218" t="s">
        <v>775</v>
      </c>
      <c r="C157" s="212" t="s">
        <v>378</v>
      </c>
      <c r="D157" s="212" t="s">
        <v>478</v>
      </c>
      <c r="E157" s="212" t="s">
        <v>180</v>
      </c>
      <c r="F157" s="212" t="s">
        <v>479</v>
      </c>
      <c r="G157" s="212" t="s">
        <v>480</v>
      </c>
      <c r="H157" s="212" t="s">
        <v>481</v>
      </c>
      <c r="I157" s="226" t="s">
        <v>552</v>
      </c>
      <c r="J157" s="226" t="s">
        <v>553</v>
      </c>
      <c r="K157" s="226" t="s">
        <v>552</v>
      </c>
      <c r="L157" s="226">
        <v>166773</v>
      </c>
      <c r="M157" s="212" t="s">
        <v>98</v>
      </c>
      <c r="N157" s="212" t="s">
        <v>97</v>
      </c>
      <c r="O157" s="219">
        <v>96.359309999999994</v>
      </c>
      <c r="P157" s="219">
        <v>25.651440000000001</v>
      </c>
      <c r="Q157" s="233"/>
      <c r="R157" s="302">
        <v>0</v>
      </c>
      <c r="S157" s="303">
        <v>0</v>
      </c>
      <c r="T157" s="222" t="str">
        <f>IF(CampList[[#This Row],[HH]]&gt;0,CampList[[#This Row],[Total]]/CampList[[#This Row],[HH]],"NA")</f>
        <v>NA</v>
      </c>
      <c r="U157" s="214" t="s">
        <v>464</v>
      </c>
      <c r="V157" s="214" t="s">
        <v>995</v>
      </c>
      <c r="W157" s="214" t="s">
        <v>507</v>
      </c>
      <c r="X157" s="214"/>
      <c r="Y157" s="234"/>
      <c r="Z157" s="224"/>
      <c r="AA157" s="239"/>
      <c r="AB157" s="243"/>
      <c r="AC157" s="218" t="s">
        <v>541</v>
      </c>
      <c r="AD157" s="214" t="str">
        <f ca="1">IFERROR(OFFSET(DistanceToCamp[Nearest Town],MATCH(CampList[[#This Row],[CP_Pcode]],DistanceToCamp[CP_Pcode],0)-1,0,1,1),"")</f>
        <v/>
      </c>
      <c r="AE157" s="227" t="str">
        <f ca="1">IFERROR(OFFSET(DistanceToCamp[distance],MATCH(CampList[[#This Row],[CP_Pcode]],DistanceToCamp[CP_Pcode],0)-1,0,1,1),"")</f>
        <v/>
      </c>
      <c r="AF157" s="228" t="str">
        <f ca="1">IFERROR(INT(CampList[[#This Row],[Distance]]/5)+1,"")</f>
        <v/>
      </c>
    </row>
    <row r="158" spans="2:35" ht="15.75" hidden="1" customHeight="1" x14ac:dyDescent="0.3">
      <c r="B158" s="218" t="s">
        <v>775</v>
      </c>
      <c r="C158" s="212" t="s">
        <v>378</v>
      </c>
      <c r="D158" s="212" t="s">
        <v>478</v>
      </c>
      <c r="E158" s="212" t="s">
        <v>180</v>
      </c>
      <c r="F158" s="212" t="s">
        <v>479</v>
      </c>
      <c r="G158" s="212" t="s">
        <v>480</v>
      </c>
      <c r="H158" s="212" t="s">
        <v>481</v>
      </c>
      <c r="I158" s="226" t="s">
        <v>552</v>
      </c>
      <c r="J158" s="226" t="s">
        <v>553</v>
      </c>
      <c r="K158" s="226" t="s">
        <v>552</v>
      </c>
      <c r="L158" s="226">
        <v>166773</v>
      </c>
      <c r="M158" s="212" t="s">
        <v>62</v>
      </c>
      <c r="N158" s="212" t="s">
        <v>61</v>
      </c>
      <c r="O158" s="219">
        <v>96.355270000000004</v>
      </c>
      <c r="P158" s="219">
        <v>25.656130000000001</v>
      </c>
      <c r="Q158" s="220">
        <v>0</v>
      </c>
      <c r="R158" s="292"/>
      <c r="S158" s="292"/>
      <c r="T158" s="222" t="str">
        <f>IF(CampList[[#This Row],[HH]]&gt;0,CampList[[#This Row],[Total]]/CampList[[#This Row],[HH]],"NA")</f>
        <v>NA</v>
      </c>
      <c r="U158" s="214" t="s">
        <v>464</v>
      </c>
      <c r="V158" s="214" t="s">
        <v>995</v>
      </c>
      <c r="W158" s="214" t="s">
        <v>507</v>
      </c>
      <c r="X158" s="214" t="s">
        <v>784</v>
      </c>
      <c r="Y158" s="331">
        <v>41275</v>
      </c>
      <c r="Z158" s="223" t="s">
        <v>424</v>
      </c>
      <c r="AA158" s="239" t="s">
        <v>774</v>
      </c>
      <c r="AB158" s="225">
        <v>42919</v>
      </c>
      <c r="AC158" s="218" t="s">
        <v>1275</v>
      </c>
      <c r="AD158" s="214" t="str">
        <f ca="1">IFERROR(OFFSET(DistanceToCamp[Nearest Town],MATCH(CampList[[#This Row],[CP_Pcode]],DistanceToCamp[CP_Pcode],0)-1,0,1,1),"")</f>
        <v>Hpakant Town</v>
      </c>
      <c r="AE158" s="227">
        <f ca="1">IFERROR(OFFSET(DistanceToCamp[distance],MATCH(CampList[[#This Row],[CP_Pcode]],DistanceToCamp[CP_Pcode],0)-1,0,1,1),"")</f>
        <v>6.4753396248436657</v>
      </c>
      <c r="AF158" s="228">
        <f ca="1">IFERROR(INT(CampList[[#This Row],[Distance]]/5)+1,"")</f>
        <v>2</v>
      </c>
      <c r="AH158" s="302"/>
      <c r="AI158" s="303"/>
    </row>
    <row r="159" spans="2:35" ht="15.75" hidden="1" customHeight="1" x14ac:dyDescent="0.3">
      <c r="B159" s="218" t="s">
        <v>775</v>
      </c>
      <c r="C159" s="212" t="s">
        <v>378</v>
      </c>
      <c r="D159" s="212" t="s">
        <v>478</v>
      </c>
      <c r="E159" s="212" t="s">
        <v>180</v>
      </c>
      <c r="F159" s="212" t="s">
        <v>479</v>
      </c>
      <c r="G159" s="212" t="s">
        <v>480</v>
      </c>
      <c r="H159" s="212" t="s">
        <v>481</v>
      </c>
      <c r="I159" s="226" t="s">
        <v>538</v>
      </c>
      <c r="J159" s="226" t="s">
        <v>539</v>
      </c>
      <c r="K159" s="226" t="s">
        <v>538</v>
      </c>
      <c r="L159" s="226">
        <v>166783</v>
      </c>
      <c r="M159" s="212" t="s">
        <v>78</v>
      </c>
      <c r="N159" s="212" t="s">
        <v>77</v>
      </c>
      <c r="O159" s="219"/>
      <c r="P159" s="219"/>
      <c r="Q159" s="233"/>
      <c r="R159" s="302"/>
      <c r="S159" s="303"/>
      <c r="T159" s="222" t="str">
        <f>IF(CampList[[#This Row],[HH]]&gt;0,CampList[[#This Row],[Total]]/CampList[[#This Row],[HH]],"NA")</f>
        <v>NA</v>
      </c>
      <c r="U159" s="214" t="s">
        <v>464</v>
      </c>
      <c r="V159" s="214" t="s">
        <v>995</v>
      </c>
      <c r="W159" s="214" t="s">
        <v>507</v>
      </c>
      <c r="X159" s="214" t="s">
        <v>784</v>
      </c>
      <c r="Y159" s="234"/>
      <c r="Z159" s="224"/>
      <c r="AA159" s="239" t="s">
        <v>774</v>
      </c>
      <c r="AB159" s="225">
        <v>41774</v>
      </c>
      <c r="AC159" s="218" t="s">
        <v>898</v>
      </c>
      <c r="AD159" s="214" t="str">
        <f ca="1">IFERROR(OFFSET(DistanceToCamp[Nearest Town],MATCH(CampList[[#This Row],[CP_Pcode]],DistanceToCamp[CP_Pcode],0)-1,0,1,1),"")</f>
        <v/>
      </c>
      <c r="AE159" s="227" t="str">
        <f ca="1">IFERROR(OFFSET(DistanceToCamp[distance],MATCH(CampList[[#This Row],[CP_Pcode]],DistanceToCamp[CP_Pcode],0)-1,0,1,1),"")</f>
        <v/>
      </c>
      <c r="AF159" s="228" t="str">
        <f ca="1">IFERROR(INT(CampList[[#This Row],[Distance]]/5)+1,"")</f>
        <v/>
      </c>
    </row>
    <row r="160" spans="2:35" ht="15.75" customHeight="1" x14ac:dyDescent="0.3">
      <c r="B160" s="218" t="s">
        <v>460</v>
      </c>
      <c r="C160" s="212" t="s">
        <v>378</v>
      </c>
      <c r="D160" s="212" t="s">
        <v>478</v>
      </c>
      <c r="E160" s="212" t="s">
        <v>180</v>
      </c>
      <c r="F160" s="212" t="s">
        <v>479</v>
      </c>
      <c r="G160" s="212" t="s">
        <v>480</v>
      </c>
      <c r="H160" s="212" t="s">
        <v>481</v>
      </c>
      <c r="I160" s="212" t="s">
        <v>538</v>
      </c>
      <c r="J160" s="212" t="s">
        <v>539</v>
      </c>
      <c r="K160" s="226" t="s">
        <v>540</v>
      </c>
      <c r="L160" s="226">
        <v>166785</v>
      </c>
      <c r="M160" s="212" t="s">
        <v>90</v>
      </c>
      <c r="N160" s="212" t="s">
        <v>89</v>
      </c>
      <c r="O160" s="219">
        <v>96.269199999999998</v>
      </c>
      <c r="P160" s="219">
        <v>25.566510000000001</v>
      </c>
      <c r="Q160" s="220">
        <v>278</v>
      </c>
      <c r="R160" s="292">
        <v>19</v>
      </c>
      <c r="S160" s="292">
        <v>102</v>
      </c>
      <c r="T160" s="222">
        <f>IF(CampList[[#This Row],[HH]]&gt;0,CampList[[#This Row],[Total]]/CampList[[#This Row],[HH]],"NA")</f>
        <v>5.3684210526315788</v>
      </c>
      <c r="U160" s="214" t="s">
        <v>464</v>
      </c>
      <c r="V160" s="214" t="s">
        <v>995</v>
      </c>
      <c r="W160" s="214" t="s">
        <v>507</v>
      </c>
      <c r="X160" s="214" t="s">
        <v>784</v>
      </c>
      <c r="Y160" s="331">
        <v>41275</v>
      </c>
      <c r="Z160" s="223" t="s">
        <v>462</v>
      </c>
      <c r="AA160" s="239" t="s">
        <v>774</v>
      </c>
      <c r="AB160" s="225">
        <v>43235</v>
      </c>
      <c r="AC160" s="218" t="s">
        <v>1713</v>
      </c>
      <c r="AD160" s="214" t="str">
        <f ca="1">IFERROR(OFFSET(DistanceToCamp[Nearest Town],MATCH(CampList[[#This Row],[CP_Pcode]],DistanceToCamp[CP_Pcode],0)-1,0,1,1),"")</f>
        <v>Hpakant Town</v>
      </c>
      <c r="AE160" s="227">
        <f ca="1">IFERROR(OFFSET(DistanceToCamp[distance],MATCH(CampList[[#This Row],[CP_Pcode]],DistanceToCamp[CP_Pcode],0)-1,0,1,1),"")</f>
        <v>6.7094919928483892</v>
      </c>
      <c r="AF160" s="228">
        <f ca="1">IFERROR(INT(CampList[[#This Row],[Distance]]/5)+1,"")</f>
        <v>2</v>
      </c>
    </row>
    <row r="161" spans="2:32" ht="15.75" customHeight="1" x14ac:dyDescent="0.3">
      <c r="B161" s="218" t="s">
        <v>460</v>
      </c>
      <c r="C161" s="212" t="s">
        <v>378</v>
      </c>
      <c r="D161" s="212" t="s">
        <v>478</v>
      </c>
      <c r="E161" s="212" t="s">
        <v>180</v>
      </c>
      <c r="F161" s="212" t="s">
        <v>479</v>
      </c>
      <c r="G161" s="212" t="s">
        <v>480</v>
      </c>
      <c r="H161" s="212" t="s">
        <v>481</v>
      </c>
      <c r="I161" s="212" t="s">
        <v>538</v>
      </c>
      <c r="J161" s="212" t="s">
        <v>539</v>
      </c>
      <c r="K161" s="212" t="s">
        <v>540</v>
      </c>
      <c r="L161" s="212">
        <v>166785</v>
      </c>
      <c r="M161" s="212" t="s">
        <v>118</v>
      </c>
      <c r="N161" s="212" t="s">
        <v>117</v>
      </c>
      <c r="O161" s="219">
        <v>96.279200000000003</v>
      </c>
      <c r="P161" s="219">
        <v>25.56551</v>
      </c>
      <c r="Q161" s="220">
        <v>259</v>
      </c>
      <c r="R161" s="292">
        <v>10</v>
      </c>
      <c r="S161" s="292">
        <v>39</v>
      </c>
      <c r="T161" s="222">
        <f>IF(CampList[[#This Row],[HH]]&gt;0,CampList[[#This Row],[Total]]/CampList[[#This Row],[HH]],"NA")</f>
        <v>3.9</v>
      </c>
      <c r="U161" s="214" t="s">
        <v>464</v>
      </c>
      <c r="V161" s="214" t="s">
        <v>995</v>
      </c>
      <c r="W161" s="214" t="s">
        <v>1391</v>
      </c>
      <c r="X161" s="214" t="s">
        <v>784</v>
      </c>
      <c r="Y161" s="331">
        <v>41275</v>
      </c>
      <c r="Z161" s="223" t="s">
        <v>1322</v>
      </c>
      <c r="AA161" s="212" t="s">
        <v>774</v>
      </c>
      <c r="AB161" s="225">
        <v>43186</v>
      </c>
      <c r="AC161" s="226" t="s">
        <v>1618</v>
      </c>
      <c r="AD161" s="214" t="str">
        <f ca="1">IFERROR(OFFSET(DistanceToCamp[Nearest Town],MATCH(CampList[[#This Row],[CP_Pcode]],DistanceToCamp[CP_Pcode],0)-1,0,1,1),"")</f>
        <v>Hpakant Town</v>
      </c>
      <c r="AE161" s="227">
        <f ca="1">IFERROR(OFFSET(DistanceToCamp[distance],MATCH(CampList[[#This Row],[CP_Pcode]],DistanceToCamp[CP_Pcode],0)-1,0,1,1),"")</f>
        <v>6.2085564346706201</v>
      </c>
      <c r="AF161" s="228">
        <f ca="1">IFERROR(INT(CampList[[#This Row],[Distance]]/5)+1,"")</f>
        <v>2</v>
      </c>
    </row>
    <row r="162" spans="2:32" ht="15.75" hidden="1" customHeight="1" x14ac:dyDescent="0.3">
      <c r="B162" s="218" t="s">
        <v>775</v>
      </c>
      <c r="C162" s="212" t="s">
        <v>378</v>
      </c>
      <c r="D162" s="212" t="s">
        <v>478</v>
      </c>
      <c r="E162" s="212" t="s">
        <v>180</v>
      </c>
      <c r="F162" s="212" t="s">
        <v>479</v>
      </c>
      <c r="G162" s="212" t="s">
        <v>480</v>
      </c>
      <c r="H162" s="212" t="s">
        <v>481</v>
      </c>
      <c r="I162" s="212" t="s">
        <v>538</v>
      </c>
      <c r="J162" s="212" t="s">
        <v>539</v>
      </c>
      <c r="K162" s="212" t="s">
        <v>540</v>
      </c>
      <c r="L162" s="232">
        <v>166785</v>
      </c>
      <c r="M162" s="212" t="s">
        <v>124</v>
      </c>
      <c r="N162" s="212" t="s">
        <v>123</v>
      </c>
      <c r="O162" s="219">
        <v>96.353030000000004</v>
      </c>
      <c r="P162" s="219">
        <v>25.668399999999998</v>
      </c>
      <c r="Q162" s="220">
        <v>0</v>
      </c>
      <c r="R162" s="292">
        <v>8</v>
      </c>
      <c r="S162" s="292">
        <v>32</v>
      </c>
      <c r="T162" s="222">
        <f>IF(CampList[[#This Row],[HH]]&gt;0,CampList[[#This Row],[Total]]/CampList[[#This Row],[HH]],"NA")</f>
        <v>4</v>
      </c>
      <c r="U162" s="214" t="s">
        <v>464</v>
      </c>
      <c r="V162" s="214" t="s">
        <v>995</v>
      </c>
      <c r="W162" s="214" t="s">
        <v>507</v>
      </c>
      <c r="X162" s="214" t="s">
        <v>784</v>
      </c>
      <c r="Y162" s="331">
        <v>41275</v>
      </c>
      <c r="Z162" s="223" t="s">
        <v>424</v>
      </c>
      <c r="AA162" s="212" t="s">
        <v>774</v>
      </c>
      <c r="AB162" s="225">
        <v>43039</v>
      </c>
      <c r="AC162" s="226" t="s">
        <v>1558</v>
      </c>
      <c r="AD162" s="214" t="str">
        <f ca="1">IFERROR(OFFSET(DistanceToCamp[Nearest Town],MATCH(CampList[[#This Row],[CP_Pcode]],DistanceToCamp[CP_Pcode],0)-1,0,1,1),"")</f>
        <v>Hpakant Town</v>
      </c>
      <c r="AE162" s="227">
        <f ca="1">IFERROR(OFFSET(DistanceToCamp[distance],MATCH(CampList[[#This Row],[CP_Pcode]],DistanceToCamp[CP_Pcode],0)-1,0,1,1),"")</f>
        <v>7.419312682373878</v>
      </c>
      <c r="AF162" s="228">
        <f ca="1">IFERROR(INT(CampList[[#This Row],[Distance]]/5)+1,"")</f>
        <v>2</v>
      </c>
    </row>
    <row r="163" spans="2:32" ht="15.75" customHeight="1" x14ac:dyDescent="0.3">
      <c r="B163" s="218" t="s">
        <v>460</v>
      </c>
      <c r="C163" s="212" t="s">
        <v>378</v>
      </c>
      <c r="D163" s="212" t="s">
        <v>478</v>
      </c>
      <c r="E163" s="212" t="s">
        <v>180</v>
      </c>
      <c r="F163" s="212" t="s">
        <v>479</v>
      </c>
      <c r="G163" s="212" t="s">
        <v>480</v>
      </c>
      <c r="H163" s="212" t="s">
        <v>481</v>
      </c>
      <c r="I163" s="212" t="s">
        <v>538</v>
      </c>
      <c r="J163" s="212" t="s">
        <v>539</v>
      </c>
      <c r="K163" s="212" t="s">
        <v>542</v>
      </c>
      <c r="L163" s="212">
        <v>166788</v>
      </c>
      <c r="M163" s="212" t="s">
        <v>126</v>
      </c>
      <c r="N163" s="212" t="s">
        <v>125</v>
      </c>
      <c r="O163" s="219">
        <v>96.286680000000004</v>
      </c>
      <c r="P163" s="219">
        <v>25.577559999999998</v>
      </c>
      <c r="Q163" s="220">
        <v>0</v>
      </c>
      <c r="R163" s="292">
        <v>32</v>
      </c>
      <c r="S163" s="292">
        <v>180</v>
      </c>
      <c r="T163" s="222">
        <f>IF(CampList[[#This Row],[HH]]&gt;0,CampList[[#This Row],[Total]]/CampList[[#This Row],[HH]],"NA")</f>
        <v>5.625</v>
      </c>
      <c r="U163" s="214" t="s">
        <v>464</v>
      </c>
      <c r="V163" s="214" t="s">
        <v>995</v>
      </c>
      <c r="W163" s="214" t="s">
        <v>507</v>
      </c>
      <c r="X163" s="214" t="s">
        <v>742</v>
      </c>
      <c r="Y163" s="331">
        <v>41275</v>
      </c>
      <c r="Z163" s="223" t="s">
        <v>424</v>
      </c>
      <c r="AA163" s="212" t="s">
        <v>774</v>
      </c>
      <c r="AB163" s="225">
        <v>43235</v>
      </c>
      <c r="AC163" s="226" t="s">
        <v>1769</v>
      </c>
      <c r="AD163" s="214" t="str">
        <f ca="1">IFERROR(OFFSET(DistanceToCamp[Nearest Town],MATCH(CampList[[#This Row],[CP_Pcode]],DistanceToCamp[CP_Pcode],0)-1,0,1,1),"")</f>
        <v>Hpakant Town</v>
      </c>
      <c r="AE163" s="227">
        <f ca="1">IFERROR(OFFSET(DistanceToCamp[distance],MATCH(CampList[[#This Row],[CP_Pcode]],DistanceToCamp[CP_Pcode],0)-1,0,1,1),"")</f>
        <v>4.6754712546149264</v>
      </c>
      <c r="AF163" s="228">
        <f ca="1">IFERROR(INT(CampList[[#This Row],[Distance]]/5)+1,"")</f>
        <v>1</v>
      </c>
    </row>
    <row r="164" spans="2:32" ht="15.75" hidden="1" customHeight="1" x14ac:dyDescent="0.3">
      <c r="B164" s="218" t="s">
        <v>775</v>
      </c>
      <c r="C164" s="212" t="s">
        <v>378</v>
      </c>
      <c r="D164" s="212" t="s">
        <v>478</v>
      </c>
      <c r="E164" s="212" t="s">
        <v>180</v>
      </c>
      <c r="F164" s="212" t="s">
        <v>479</v>
      </c>
      <c r="G164" s="212" t="s">
        <v>480</v>
      </c>
      <c r="H164" s="212" t="s">
        <v>481</v>
      </c>
      <c r="I164" s="226" t="s">
        <v>538</v>
      </c>
      <c r="J164" s="226" t="s">
        <v>539</v>
      </c>
      <c r="K164" s="226" t="s">
        <v>538</v>
      </c>
      <c r="L164" s="226">
        <v>166783</v>
      </c>
      <c r="M164" s="212" t="s">
        <v>64</v>
      </c>
      <c r="N164" s="212" t="s">
        <v>63</v>
      </c>
      <c r="O164" s="219">
        <v>96.288250000000005</v>
      </c>
      <c r="P164" s="219">
        <v>25.57921</v>
      </c>
      <c r="Q164" s="220">
        <v>0</v>
      </c>
      <c r="R164" s="302"/>
      <c r="S164" s="303"/>
      <c r="T164" s="222" t="str">
        <f>IF(CampList[[#This Row],[HH]]&gt;0,CampList[[#This Row],[Total]]/CampList[[#This Row],[HH]],"NA")</f>
        <v>NA</v>
      </c>
      <c r="U164" s="214" t="s">
        <v>464</v>
      </c>
      <c r="V164" s="214" t="s">
        <v>995</v>
      </c>
      <c r="W164" s="214" t="s">
        <v>507</v>
      </c>
      <c r="X164" s="214" t="s">
        <v>784</v>
      </c>
      <c r="Y164" s="223">
        <v>41275</v>
      </c>
      <c r="Z164" s="223" t="s">
        <v>936</v>
      </c>
      <c r="AA164" s="239" t="s">
        <v>773</v>
      </c>
      <c r="AB164" s="225">
        <v>41736</v>
      </c>
      <c r="AC164" s="226" t="s">
        <v>890</v>
      </c>
      <c r="AD164" s="214" t="str">
        <f ca="1">IFERROR(OFFSET(DistanceToCamp[Nearest Town],MATCH(CampList[[#This Row],[CP_Pcode]],DistanceToCamp[CP_Pcode],0)-1,0,1,1),"")</f>
        <v/>
      </c>
      <c r="AE164" s="227" t="str">
        <f ca="1">IFERROR(OFFSET(DistanceToCamp[distance],MATCH(CampList[[#This Row],[CP_Pcode]],DistanceToCamp[CP_Pcode],0)-1,0,1,1),"")</f>
        <v/>
      </c>
      <c r="AF164" s="228" t="str">
        <f ca="1">IFERROR(INT(CampList[[#This Row],[Distance]]/5)+1,"")</f>
        <v/>
      </c>
    </row>
    <row r="165" spans="2:32" ht="15.75" hidden="1" customHeight="1" x14ac:dyDescent="0.3">
      <c r="B165" s="218" t="s">
        <v>775</v>
      </c>
      <c r="C165" s="212" t="s">
        <v>378</v>
      </c>
      <c r="D165" s="212" t="s">
        <v>478</v>
      </c>
      <c r="E165" s="212" t="s">
        <v>180</v>
      </c>
      <c r="F165" s="212" t="s">
        <v>479</v>
      </c>
      <c r="G165" s="212" t="s">
        <v>480</v>
      </c>
      <c r="H165" s="212" t="s">
        <v>481</v>
      </c>
      <c r="I165" s="226" t="s">
        <v>538</v>
      </c>
      <c r="J165" s="226" t="s">
        <v>539</v>
      </c>
      <c r="K165" s="226" t="s">
        <v>538</v>
      </c>
      <c r="L165" s="226">
        <v>166783</v>
      </c>
      <c r="M165" s="212" t="s">
        <v>82</v>
      </c>
      <c r="N165" s="212" t="s">
        <v>81</v>
      </c>
      <c r="O165" s="219"/>
      <c r="P165" s="219"/>
      <c r="Q165" s="233"/>
      <c r="R165" s="302"/>
      <c r="S165" s="303"/>
      <c r="T165" s="222" t="str">
        <f>IF(CampList[[#This Row],[HH]]&gt;0,CampList[[#This Row],[Total]]/CampList[[#This Row],[HH]],"NA")</f>
        <v>NA</v>
      </c>
      <c r="U165" s="214" t="s">
        <v>464</v>
      </c>
      <c r="V165" s="214" t="s">
        <v>995</v>
      </c>
      <c r="W165" s="214" t="s">
        <v>507</v>
      </c>
      <c r="X165" s="214"/>
      <c r="Y165" s="234"/>
      <c r="Z165" s="224"/>
      <c r="AA165" s="239" t="s">
        <v>773</v>
      </c>
      <c r="AB165" s="225">
        <v>41663</v>
      </c>
      <c r="AC165" s="218" t="s">
        <v>844</v>
      </c>
      <c r="AD165" s="214" t="str">
        <f ca="1">IFERROR(OFFSET(DistanceToCamp[Nearest Town],MATCH(CampList[[#This Row],[CP_Pcode]],DistanceToCamp[CP_Pcode],0)-1,0,1,1),"")</f>
        <v/>
      </c>
      <c r="AE165" s="227" t="str">
        <f ca="1">IFERROR(OFFSET(DistanceToCamp[distance],MATCH(CampList[[#This Row],[CP_Pcode]],DistanceToCamp[CP_Pcode],0)-1,0,1,1),"")</f>
        <v/>
      </c>
      <c r="AF165" s="228" t="str">
        <f ca="1">IFERROR(INT(CampList[[#This Row],[Distance]]/5)+1,"")</f>
        <v/>
      </c>
    </row>
    <row r="166" spans="2:32" ht="15.75" hidden="1" customHeight="1" x14ac:dyDescent="0.3">
      <c r="B166" s="218" t="s">
        <v>775</v>
      </c>
      <c r="C166" s="212" t="s">
        <v>378</v>
      </c>
      <c r="D166" s="212" t="s">
        <v>478</v>
      </c>
      <c r="E166" s="212" t="s">
        <v>180</v>
      </c>
      <c r="F166" s="212" t="s">
        <v>479</v>
      </c>
      <c r="G166" s="212" t="s">
        <v>480</v>
      </c>
      <c r="H166" s="212" t="s">
        <v>481</v>
      </c>
      <c r="I166" s="226" t="s">
        <v>558</v>
      </c>
      <c r="J166" s="226" t="s">
        <v>559</v>
      </c>
      <c r="K166" s="226" t="s">
        <v>560</v>
      </c>
      <c r="L166" s="226">
        <v>166817</v>
      </c>
      <c r="M166" s="212" t="s">
        <v>58</v>
      </c>
      <c r="N166" s="212" t="s">
        <v>57</v>
      </c>
      <c r="O166" s="219">
        <v>96.673805000000002</v>
      </c>
      <c r="P166" s="219">
        <v>25.728653000000001</v>
      </c>
      <c r="Q166" s="233"/>
      <c r="R166" s="302"/>
      <c r="S166" s="303"/>
      <c r="T166" s="222" t="str">
        <f>IF(CampList[[#This Row],[HH]]&gt;0,CampList[[#This Row],[Total]]/CampList[[#This Row],[HH]],"NA")</f>
        <v>NA</v>
      </c>
      <c r="U166" s="214" t="s">
        <v>464</v>
      </c>
      <c r="V166" s="214" t="s">
        <v>995</v>
      </c>
      <c r="W166" s="214" t="s">
        <v>507</v>
      </c>
      <c r="X166" s="214" t="s">
        <v>784</v>
      </c>
      <c r="Y166" s="234"/>
      <c r="Z166" s="223" t="s">
        <v>462</v>
      </c>
      <c r="AA166" s="239" t="s">
        <v>774</v>
      </c>
      <c r="AB166" s="225">
        <v>42096</v>
      </c>
      <c r="AC166" s="218" t="s">
        <v>1065</v>
      </c>
      <c r="AD166" s="214" t="str">
        <f ca="1">IFERROR(OFFSET(DistanceToCamp[Nearest Town],MATCH(CampList[[#This Row],[CP_Pcode]],DistanceToCamp[CP_Pcode],0)-1,0,1,1),"")</f>
        <v>Kamaing Town</v>
      </c>
      <c r="AE166" s="227">
        <f ca="1">IFERROR(OFFSET(DistanceToCamp[distance],MATCH(CampList[[#This Row],[CP_Pcode]],DistanceToCamp[CP_Pcode],0)-1,0,1,1),"")</f>
        <v>23.222739740353646</v>
      </c>
      <c r="AF166" s="228">
        <f ca="1">IFERROR(INT(CampList[[#This Row],[Distance]]/5)+1,"")</f>
        <v>5</v>
      </c>
    </row>
    <row r="167" spans="2:32" ht="15.75" hidden="1" customHeight="1" x14ac:dyDescent="0.3">
      <c r="B167" s="218" t="s">
        <v>775</v>
      </c>
      <c r="C167" s="212" t="s">
        <v>378</v>
      </c>
      <c r="D167" s="212" t="s">
        <v>478</v>
      </c>
      <c r="E167" s="212" t="s">
        <v>180</v>
      </c>
      <c r="F167" s="212" t="s">
        <v>479</v>
      </c>
      <c r="G167" s="212" t="s">
        <v>480</v>
      </c>
      <c r="H167" s="212" t="s">
        <v>481</v>
      </c>
      <c r="I167" s="226" t="s">
        <v>543</v>
      </c>
      <c r="J167" s="226" t="s">
        <v>544</v>
      </c>
      <c r="K167" s="226" t="s">
        <v>547</v>
      </c>
      <c r="L167" s="226" t="s">
        <v>548</v>
      </c>
      <c r="M167" s="212" t="s">
        <v>56</v>
      </c>
      <c r="N167" s="212" t="s">
        <v>55</v>
      </c>
      <c r="O167" s="219"/>
      <c r="P167" s="219"/>
      <c r="Q167" s="233"/>
      <c r="R167" s="302">
        <v>0</v>
      </c>
      <c r="S167" s="303">
        <v>0</v>
      </c>
      <c r="T167" s="222" t="str">
        <f>IF(CampList[[#This Row],[HH]]&gt;0,CampList[[#This Row],[Total]]/CampList[[#This Row],[HH]],"NA")</f>
        <v>NA</v>
      </c>
      <c r="U167" s="214" t="s">
        <v>464</v>
      </c>
      <c r="V167" s="214" t="s">
        <v>995</v>
      </c>
      <c r="W167" s="214" t="s">
        <v>507</v>
      </c>
      <c r="X167" s="214"/>
      <c r="Y167" s="234"/>
      <c r="Z167" s="224"/>
      <c r="AA167" s="239"/>
      <c r="AB167" s="243"/>
      <c r="AC167" s="218"/>
      <c r="AD167" s="214" t="str">
        <f ca="1">IFERROR(OFFSET(DistanceToCamp[Nearest Town],MATCH(CampList[[#This Row],[CP_Pcode]],DistanceToCamp[CP_Pcode],0)-1,0,1,1),"")</f>
        <v/>
      </c>
      <c r="AE167" s="227" t="str">
        <f ca="1">IFERROR(OFFSET(DistanceToCamp[distance],MATCH(CampList[[#This Row],[CP_Pcode]],DistanceToCamp[CP_Pcode],0)-1,0,1,1),"")</f>
        <v/>
      </c>
      <c r="AF167" s="228" t="str">
        <f ca="1">IFERROR(INT(CampList[[#This Row],[Distance]]/5)+1,"")</f>
        <v/>
      </c>
    </row>
    <row r="168" spans="2:32" ht="15.75" customHeight="1" x14ac:dyDescent="0.3">
      <c r="B168" s="218" t="s">
        <v>460</v>
      </c>
      <c r="C168" s="212" t="s">
        <v>378</v>
      </c>
      <c r="D168" s="212" t="s">
        <v>478</v>
      </c>
      <c r="E168" s="212" t="s">
        <v>180</v>
      </c>
      <c r="F168" s="212" t="s">
        <v>479</v>
      </c>
      <c r="G168" s="212" t="s">
        <v>480</v>
      </c>
      <c r="H168" s="212" t="s">
        <v>481</v>
      </c>
      <c r="I168" s="226" t="s">
        <v>543</v>
      </c>
      <c r="J168" s="226" t="s">
        <v>544</v>
      </c>
      <c r="K168" s="226" t="s">
        <v>547</v>
      </c>
      <c r="L168" s="226" t="s">
        <v>548</v>
      </c>
      <c r="M168" s="212" t="s">
        <v>43</v>
      </c>
      <c r="N168" s="212" t="s">
        <v>42</v>
      </c>
      <c r="O168" s="219">
        <v>96.317350000000005</v>
      </c>
      <c r="P168" s="219">
        <v>25.616509000000001</v>
      </c>
      <c r="Q168" s="220">
        <v>264</v>
      </c>
      <c r="R168" s="292">
        <v>14</v>
      </c>
      <c r="S168" s="292">
        <v>81</v>
      </c>
      <c r="T168" s="222">
        <f>IF(CampList[[#This Row],[HH]]&gt;0,CampList[[#This Row],[Total]]/CampList[[#This Row],[HH]],"NA")</f>
        <v>5.7857142857142856</v>
      </c>
      <c r="U168" s="214" t="s">
        <v>464</v>
      </c>
      <c r="V168" s="214" t="s">
        <v>995</v>
      </c>
      <c r="W168" s="214" t="s">
        <v>507</v>
      </c>
      <c r="X168" s="197" t="s">
        <v>742</v>
      </c>
      <c r="Y168" s="331">
        <v>41275</v>
      </c>
      <c r="Z168" s="223" t="s">
        <v>462</v>
      </c>
      <c r="AA168" s="239" t="s">
        <v>774</v>
      </c>
      <c r="AB168" s="225">
        <v>43235</v>
      </c>
      <c r="AC168" s="218" t="s">
        <v>1708</v>
      </c>
      <c r="AD168" s="214" t="str">
        <f ca="1">IFERROR(OFFSET(DistanceToCamp[Nearest Town],MATCH(CampList[[#This Row],[CP_Pcode]],DistanceToCamp[CP_Pcode],0)-1,0,1,1),"")</f>
        <v>Hpakant Town</v>
      </c>
      <c r="AE168" s="227">
        <f ca="1">IFERROR(OFFSET(DistanceToCamp[distance],MATCH(CampList[[#This Row],[CP_Pcode]],DistanceToCamp[CP_Pcode],0)-1,0,1,1),"")</f>
        <v>0.66733171900141897</v>
      </c>
      <c r="AF168" s="228">
        <f ca="1">IFERROR(INT(CampList[[#This Row],[Distance]]/5)+1,"")</f>
        <v>1</v>
      </c>
    </row>
    <row r="169" spans="2:32" ht="15.75" customHeight="1" x14ac:dyDescent="0.3">
      <c r="B169" s="218" t="s">
        <v>460</v>
      </c>
      <c r="C169" s="212" t="s">
        <v>378</v>
      </c>
      <c r="D169" s="212" t="s">
        <v>478</v>
      </c>
      <c r="E169" s="212" t="s">
        <v>180</v>
      </c>
      <c r="F169" s="212" t="s">
        <v>479</v>
      </c>
      <c r="G169" s="212" t="s">
        <v>480</v>
      </c>
      <c r="H169" s="212" t="s">
        <v>481</v>
      </c>
      <c r="I169" s="226" t="s">
        <v>543</v>
      </c>
      <c r="J169" s="226" t="s">
        <v>544</v>
      </c>
      <c r="K169" s="226" t="s">
        <v>547</v>
      </c>
      <c r="L169" s="226" t="s">
        <v>548</v>
      </c>
      <c r="M169" s="212" t="s">
        <v>44</v>
      </c>
      <c r="N169" s="212" t="s">
        <v>45</v>
      </c>
      <c r="O169" s="219">
        <v>96.316564</v>
      </c>
      <c r="P169" s="219">
        <v>25.615960999999999</v>
      </c>
      <c r="Q169" s="220">
        <v>281</v>
      </c>
      <c r="R169" s="292">
        <v>4</v>
      </c>
      <c r="S169" s="292">
        <v>27</v>
      </c>
      <c r="T169" s="222">
        <f>IF(CampList[[#This Row],[HH]]&gt;0,CampList[[#This Row],[Total]]/CampList[[#This Row],[HH]],"NA")</f>
        <v>6.75</v>
      </c>
      <c r="U169" s="214" t="s">
        <v>464</v>
      </c>
      <c r="V169" s="214" t="s">
        <v>995</v>
      </c>
      <c r="W169" s="214" t="s">
        <v>1391</v>
      </c>
      <c r="X169" s="214" t="s">
        <v>742</v>
      </c>
      <c r="Y169" s="331">
        <v>41122</v>
      </c>
      <c r="Z169" s="223" t="s">
        <v>1322</v>
      </c>
      <c r="AA169" s="239" t="s">
        <v>774</v>
      </c>
      <c r="AB169" s="225">
        <v>43220</v>
      </c>
      <c r="AC169" s="218" t="s">
        <v>1669</v>
      </c>
      <c r="AD169" s="214" t="str">
        <f ca="1">IFERROR(OFFSET(DistanceToCamp[Nearest Town],MATCH(CampList[[#This Row],[CP_Pcode]],DistanceToCamp[CP_Pcode],0)-1,0,1,1),"")</f>
        <v>Hpakant Town</v>
      </c>
      <c r="AE169" s="227">
        <f ca="1">IFERROR(OFFSET(DistanceToCamp[distance],MATCH(CampList[[#This Row],[CP_Pcode]],DistanceToCamp[CP_Pcode],0)-1,0,1,1),"")</f>
        <v>0.56771790814545575</v>
      </c>
      <c r="AF169" s="228">
        <f ca="1">IFERROR(INT(CampList[[#This Row],[Distance]]/5)+1,"")</f>
        <v>1</v>
      </c>
    </row>
    <row r="170" spans="2:32" ht="15.75" customHeight="1" x14ac:dyDescent="0.3">
      <c r="B170" s="218" t="s">
        <v>460</v>
      </c>
      <c r="C170" s="212" t="s">
        <v>378</v>
      </c>
      <c r="D170" s="212" t="s">
        <v>478</v>
      </c>
      <c r="E170" s="212" t="s">
        <v>180</v>
      </c>
      <c r="F170" s="212" t="s">
        <v>479</v>
      </c>
      <c r="G170" s="212" t="s">
        <v>480</v>
      </c>
      <c r="H170" s="212" t="s">
        <v>481</v>
      </c>
      <c r="I170" s="226" t="s">
        <v>549</v>
      </c>
      <c r="J170" s="226" t="s">
        <v>550</v>
      </c>
      <c r="K170" s="226" t="s">
        <v>549</v>
      </c>
      <c r="L170" s="226">
        <v>166776</v>
      </c>
      <c r="M170" s="212" t="s">
        <v>551</v>
      </c>
      <c r="N170" s="212" t="s">
        <v>46</v>
      </c>
      <c r="O170" s="219">
        <v>96.339590000000001</v>
      </c>
      <c r="P170" s="219">
        <v>25.617998</v>
      </c>
      <c r="Q170" s="233"/>
      <c r="R170" s="292">
        <v>11</v>
      </c>
      <c r="S170" s="292">
        <v>46</v>
      </c>
      <c r="T170" s="222">
        <f>IF(CampList[[#This Row],[HH]]&gt;0,CampList[[#This Row],[Total]]/CampList[[#This Row],[HH]],"NA")</f>
        <v>4.1818181818181817</v>
      </c>
      <c r="U170" s="214" t="s">
        <v>464</v>
      </c>
      <c r="V170" s="214" t="s">
        <v>995</v>
      </c>
      <c r="W170" s="214" t="s">
        <v>1391</v>
      </c>
      <c r="X170" s="214" t="s">
        <v>742</v>
      </c>
      <c r="Y170" s="331">
        <v>41275</v>
      </c>
      <c r="Z170" s="223" t="s">
        <v>1322</v>
      </c>
      <c r="AA170" s="239" t="s">
        <v>774</v>
      </c>
      <c r="AB170" s="225">
        <v>43220</v>
      </c>
      <c r="AC170" s="218" t="s">
        <v>1670</v>
      </c>
      <c r="AD170" s="214" t="str">
        <f ca="1">IFERROR(OFFSET(DistanceToCamp[Nearest Town],MATCH(CampList[[#This Row],[CP_Pcode]],DistanceToCamp[CP_Pcode],0)-1,0,1,1),"")</f>
        <v>Hpakant Town</v>
      </c>
      <c r="AE170" s="227">
        <f ca="1">IFERROR(OFFSET(DistanceToCamp[distance],MATCH(CampList[[#This Row],[CP_Pcode]],DistanceToCamp[CP_Pcode],0)-1,0,1,1),"")</f>
        <v>2.814225084976667</v>
      </c>
      <c r="AF170" s="228">
        <f ca="1">IFERROR(INT(CampList[[#This Row],[Distance]]/5)+1,"")</f>
        <v>1</v>
      </c>
    </row>
    <row r="171" spans="2:32" ht="15.75" customHeight="1" x14ac:dyDescent="0.3">
      <c r="B171" s="218" t="s">
        <v>460</v>
      </c>
      <c r="C171" s="212" t="s">
        <v>378</v>
      </c>
      <c r="D171" s="212" t="s">
        <v>478</v>
      </c>
      <c r="E171" s="212" t="s">
        <v>5</v>
      </c>
      <c r="F171" s="212" t="s">
        <v>482</v>
      </c>
      <c r="G171" s="212" t="s">
        <v>5</v>
      </c>
      <c r="H171" s="212" t="s">
        <v>483</v>
      </c>
      <c r="I171" s="212" t="s">
        <v>585</v>
      </c>
      <c r="J171" s="212" t="s">
        <v>586</v>
      </c>
      <c r="K171" s="212" t="s">
        <v>587</v>
      </c>
      <c r="L171" s="212">
        <v>166854</v>
      </c>
      <c r="M171" s="212" t="s">
        <v>364</v>
      </c>
      <c r="N171" s="212" t="s">
        <v>374</v>
      </c>
      <c r="O171" s="219">
        <v>97.252650000000003</v>
      </c>
      <c r="P171" s="219">
        <v>24.222349999999999</v>
      </c>
      <c r="Q171" s="220">
        <v>0</v>
      </c>
      <c r="R171" s="292">
        <v>147</v>
      </c>
      <c r="S171" s="292">
        <v>771</v>
      </c>
      <c r="T171" s="222">
        <f>IF(CampList[[#This Row],[HH]]&gt;0,CampList[[#This Row],[Total]]/CampList[[#This Row],[HH]],"NA")</f>
        <v>5.2448979591836737</v>
      </c>
      <c r="U171" s="214" t="s">
        <v>464</v>
      </c>
      <c r="V171" s="214" t="s">
        <v>995</v>
      </c>
      <c r="W171" s="214" t="s">
        <v>507</v>
      </c>
      <c r="X171" s="214" t="s">
        <v>742</v>
      </c>
      <c r="Y171" s="331">
        <v>41275</v>
      </c>
      <c r="Z171" s="223" t="s">
        <v>424</v>
      </c>
      <c r="AA171" s="212" t="s">
        <v>774</v>
      </c>
      <c r="AB171" s="225">
        <v>43235</v>
      </c>
      <c r="AC171" s="226" t="s">
        <v>1770</v>
      </c>
      <c r="AD171" s="214" t="str">
        <f ca="1">IFERROR(OFFSET(DistanceToCamp[Nearest Town],MATCH(CampList[[#This Row],[CP_Pcode]],DistanceToCamp[CP_Pcode],0)-1,0,1,1),"")</f>
        <v>Bhamo Town</v>
      </c>
      <c r="AE171" s="227">
        <f ca="1">IFERROR(OFFSET(DistanceToCamp[distance],MATCH(CampList[[#This Row],[CP_Pcode]],DistanceToCamp[CP_Pcode],0)-1,0,1,1),"")</f>
        <v>4.067486452659054</v>
      </c>
      <c r="AF171" s="228">
        <f ca="1">IFERROR(INT(CampList[[#This Row],[Distance]]/5)+1,"")</f>
        <v>1</v>
      </c>
    </row>
    <row r="172" spans="2:32" ht="15.75" customHeight="1" x14ac:dyDescent="0.3">
      <c r="B172" s="218" t="s">
        <v>460</v>
      </c>
      <c r="C172" s="212" t="s">
        <v>378</v>
      </c>
      <c r="D172" s="212" t="s">
        <v>478</v>
      </c>
      <c r="E172" s="212" t="s">
        <v>5</v>
      </c>
      <c r="F172" s="212" t="s">
        <v>482</v>
      </c>
      <c r="G172" s="212" t="s">
        <v>5</v>
      </c>
      <c r="H172" s="212" t="s">
        <v>483</v>
      </c>
      <c r="I172" s="226" t="s">
        <v>1093</v>
      </c>
      <c r="J172" s="226" t="s">
        <v>1092</v>
      </c>
      <c r="K172" s="226" t="s">
        <v>1093</v>
      </c>
      <c r="L172" s="238">
        <v>166904</v>
      </c>
      <c r="M172" s="212" t="s">
        <v>465</v>
      </c>
      <c r="N172" s="212" t="s">
        <v>375</v>
      </c>
      <c r="O172" s="219">
        <v>97.252650000000003</v>
      </c>
      <c r="P172" s="219">
        <v>24.260466999999998</v>
      </c>
      <c r="Q172" s="220">
        <v>0</v>
      </c>
      <c r="R172" s="292">
        <v>12</v>
      </c>
      <c r="S172" s="292">
        <v>52</v>
      </c>
      <c r="T172" s="222">
        <f>IF(CampList[[#This Row],[HH]]&gt;0,CampList[[#This Row],[Total]]/CampList[[#This Row],[HH]],"NA")</f>
        <v>4.333333333333333</v>
      </c>
      <c r="U172" s="214" t="s">
        <v>464</v>
      </c>
      <c r="V172" s="214" t="s">
        <v>995</v>
      </c>
      <c r="W172" s="214" t="s">
        <v>507</v>
      </c>
      <c r="X172" s="214" t="s">
        <v>742</v>
      </c>
      <c r="Y172" s="331">
        <v>40787</v>
      </c>
      <c r="Z172" s="223" t="s">
        <v>424</v>
      </c>
      <c r="AA172" s="239" t="s">
        <v>774</v>
      </c>
      <c r="AB172" s="225">
        <v>43235</v>
      </c>
      <c r="AC172" s="218" t="s">
        <v>1771</v>
      </c>
      <c r="AD172" s="214" t="str">
        <f ca="1">IFERROR(OFFSET(DistanceToCamp[Nearest Town],MATCH(CampList[[#This Row],[CP_Pcode]],DistanceToCamp[CP_Pcode],0)-1,0,1,1),"")</f>
        <v>Bhamo Town</v>
      </c>
      <c r="AE172" s="227">
        <f ca="1">IFERROR(OFFSET(DistanceToCamp[distance],MATCH(CampList[[#This Row],[CP_Pcode]],DistanceToCamp[CP_Pcode],0)-1,0,1,1),"")</f>
        <v>1.9489261822960435</v>
      </c>
      <c r="AF172" s="228">
        <f ca="1">IFERROR(INT(CampList[[#This Row],[Distance]]/5)+1,"")</f>
        <v>1</v>
      </c>
    </row>
    <row r="173" spans="2:32" ht="15.75" customHeight="1" x14ac:dyDescent="0.3">
      <c r="B173" s="218" t="s">
        <v>460</v>
      </c>
      <c r="C173" s="212" t="s">
        <v>378</v>
      </c>
      <c r="D173" s="212" t="s">
        <v>478</v>
      </c>
      <c r="E173" s="212" t="s">
        <v>237</v>
      </c>
      <c r="F173" s="212" t="s">
        <v>484</v>
      </c>
      <c r="G173" s="212" t="s">
        <v>27</v>
      </c>
      <c r="H173" s="212" t="s">
        <v>487</v>
      </c>
      <c r="I173" s="727" t="s">
        <v>731</v>
      </c>
      <c r="J173" s="727" t="s">
        <v>732</v>
      </c>
      <c r="K173" s="240" t="s">
        <v>1877</v>
      </c>
      <c r="L173" s="727" t="s">
        <v>1878</v>
      </c>
      <c r="M173" s="212" t="s">
        <v>363</v>
      </c>
      <c r="N173" s="212" t="s">
        <v>376</v>
      </c>
      <c r="O173" s="219">
        <v>98.129990000000006</v>
      </c>
      <c r="P173" s="219">
        <v>25.887339999999998</v>
      </c>
      <c r="Q173" s="233">
        <v>259.10000000000002</v>
      </c>
      <c r="R173" s="292">
        <v>143</v>
      </c>
      <c r="S173" s="292">
        <v>640</v>
      </c>
      <c r="T173" s="222">
        <f>IF(CampList[[#This Row],[HH]]&gt;0,CampList[[#This Row],[Total]]/CampList[[#This Row],[HH]],"NA")</f>
        <v>4.4755244755244759</v>
      </c>
      <c r="U173" s="214" t="s">
        <v>464</v>
      </c>
      <c r="V173" s="214" t="s">
        <v>995</v>
      </c>
      <c r="W173" s="214" t="s">
        <v>507</v>
      </c>
      <c r="X173" s="214" t="s">
        <v>784</v>
      </c>
      <c r="Y173" s="331">
        <v>40940</v>
      </c>
      <c r="Z173" s="223" t="s">
        <v>462</v>
      </c>
      <c r="AA173" s="239" t="s">
        <v>774</v>
      </c>
      <c r="AB173" s="225">
        <v>43235</v>
      </c>
      <c r="AC173" s="218" t="s">
        <v>1712</v>
      </c>
      <c r="AD173" s="214" t="str">
        <f ca="1">IFERROR(OFFSET(DistanceToCamp[Nearest Town],MATCH(CampList[[#This Row],[CP_Pcode]],DistanceToCamp[CP_Pcode],0)-1,0,1,1),"")</f>
        <v>Chipwi Town</v>
      </c>
      <c r="AE173" s="227">
        <f ca="1">IFERROR(OFFSET(DistanceToCamp[distance],MATCH(CampList[[#This Row],[CP_Pcode]],DistanceToCamp[CP_Pcode],0)-1,0,1,1),"")</f>
        <v>0</v>
      </c>
      <c r="AF173" s="228">
        <f ca="1">IFERROR(INT(CampList[[#This Row],[Distance]]/5)+1,"")</f>
        <v>1</v>
      </c>
    </row>
    <row r="174" spans="2:32" ht="15.75" customHeight="1" x14ac:dyDescent="0.3">
      <c r="B174" s="218" t="s">
        <v>460</v>
      </c>
      <c r="C174" s="212" t="s">
        <v>378</v>
      </c>
      <c r="D174" s="212" t="s">
        <v>478</v>
      </c>
      <c r="E174" s="212" t="s">
        <v>5</v>
      </c>
      <c r="F174" s="212" t="s">
        <v>482</v>
      </c>
      <c r="G174" s="212" t="s">
        <v>151</v>
      </c>
      <c r="H174" s="212" t="s">
        <v>492</v>
      </c>
      <c r="I174" s="226" t="s">
        <v>590</v>
      </c>
      <c r="J174" s="226" t="s">
        <v>591</v>
      </c>
      <c r="K174" s="212"/>
      <c r="L174" s="212"/>
      <c r="M174" s="212" t="s">
        <v>12</v>
      </c>
      <c r="N174" s="212" t="s">
        <v>388</v>
      </c>
      <c r="O174" s="219">
        <v>97.298055000000005</v>
      </c>
      <c r="P174" s="219">
        <v>24.118618999999999</v>
      </c>
      <c r="Q174" s="233"/>
      <c r="R174" s="329">
        <v>80</v>
      </c>
      <c r="S174" s="330">
        <v>290</v>
      </c>
      <c r="T174" s="222">
        <f>IF(CampList[[#This Row],[HH]]&gt;0,CampList[[#This Row],[Total]]/CampList[[#This Row],[HH]],"NA")</f>
        <v>3.625</v>
      </c>
      <c r="U174" s="214" t="s">
        <v>464</v>
      </c>
      <c r="V174" s="214" t="s">
        <v>995</v>
      </c>
      <c r="W174" s="244" t="s">
        <v>12</v>
      </c>
      <c r="X174" s="214" t="s">
        <v>742</v>
      </c>
      <c r="Y174" s="332"/>
      <c r="Z174" s="224" t="s">
        <v>1322</v>
      </c>
      <c r="AA174" s="239" t="s">
        <v>774</v>
      </c>
      <c r="AB174" s="247">
        <v>43090</v>
      </c>
      <c r="AC174" s="218" t="s">
        <v>1572</v>
      </c>
      <c r="AD174" s="214" t="str">
        <f ca="1">IFERROR(OFFSET(DistanceToCamp[Nearest Town],MATCH(CampList[[#This Row],[CP_Pcode]],DistanceToCamp[CP_Pcode],0)-1,0,1,1),"")</f>
        <v>Mansi Town</v>
      </c>
      <c r="AE174" s="227">
        <f ca="1">IFERROR(OFFSET(DistanceToCamp[distance],MATCH(CampList[[#This Row],[CP_Pcode]],DistanceToCamp[CP_Pcode],0)-1,0,1,1),"")</f>
        <v>0.51447052329458698</v>
      </c>
      <c r="AF174" s="228">
        <f ca="1">IFERROR(INT(CampList[[#This Row],[Distance]]/5)+1,"")</f>
        <v>1</v>
      </c>
    </row>
    <row r="175" spans="2:32" ht="23.4" customHeight="1" x14ac:dyDescent="0.3">
      <c r="B175" s="218" t="s">
        <v>460</v>
      </c>
      <c r="C175" s="212" t="s">
        <v>378</v>
      </c>
      <c r="D175" s="212" t="s">
        <v>478</v>
      </c>
      <c r="E175" s="212" t="s">
        <v>5</v>
      </c>
      <c r="F175" s="212" t="s">
        <v>482</v>
      </c>
      <c r="G175" s="212" t="s">
        <v>185</v>
      </c>
      <c r="H175" s="212" t="s">
        <v>486</v>
      </c>
      <c r="I175" s="212" t="s">
        <v>602</v>
      </c>
      <c r="J175" s="212" t="s">
        <v>603</v>
      </c>
      <c r="K175" s="212"/>
      <c r="L175" s="212"/>
      <c r="M175" s="212" t="s">
        <v>12</v>
      </c>
      <c r="N175" s="212" t="s">
        <v>389</v>
      </c>
      <c r="O175" s="219">
        <v>97.348405</v>
      </c>
      <c r="P175" s="219">
        <v>24.251232000000002</v>
      </c>
      <c r="Q175" s="233"/>
      <c r="R175" s="329">
        <v>223</v>
      </c>
      <c r="S175" s="330">
        <v>1067</v>
      </c>
      <c r="T175" s="222">
        <f>IF(CampList[[#This Row],[HH]]&gt;0,CampList[[#This Row],[Total]]/CampList[[#This Row],[HH]],"NA")</f>
        <v>4.7847533632286998</v>
      </c>
      <c r="U175" s="214" t="s">
        <v>464</v>
      </c>
      <c r="V175" s="214" t="s">
        <v>995</v>
      </c>
      <c r="W175" s="244" t="s">
        <v>12</v>
      </c>
      <c r="X175" s="214" t="s">
        <v>742</v>
      </c>
      <c r="Y175" s="332"/>
      <c r="Z175" s="224" t="s">
        <v>1322</v>
      </c>
      <c r="AA175" s="239" t="s">
        <v>773</v>
      </c>
      <c r="AB175" s="247">
        <v>43090</v>
      </c>
      <c r="AC175" s="218" t="s">
        <v>1573</v>
      </c>
      <c r="AD175" s="214" t="str">
        <f ca="1">IFERROR(OFFSET(DistanceToCamp[Nearest Town],MATCH(CampList[[#This Row],[CP_Pcode]],DistanceToCamp[CP_Pcode],0)-1,0,1,1),"")</f>
        <v>Momauk Town</v>
      </c>
      <c r="AE175" s="227">
        <f ca="1">IFERROR(OFFSET(DistanceToCamp[distance],MATCH(CampList[[#This Row],[CP_Pcode]],DistanceToCamp[CP_Pcode],0)-1,0,1,1),"")</f>
        <v>0.60629049139006752</v>
      </c>
      <c r="AF175" s="228">
        <f ca="1">IFERROR(INT(CampList[[#This Row],[Distance]]/5)+1,"")</f>
        <v>1</v>
      </c>
    </row>
    <row r="176" spans="2:32" ht="15.75" hidden="1" customHeight="1" x14ac:dyDescent="0.3">
      <c r="B176" s="218" t="s">
        <v>775</v>
      </c>
      <c r="C176" s="212" t="s">
        <v>378</v>
      </c>
      <c r="D176" s="212" t="s">
        <v>478</v>
      </c>
      <c r="E176" s="212" t="s">
        <v>5</v>
      </c>
      <c r="F176" s="212" t="s">
        <v>482</v>
      </c>
      <c r="G176" s="212" t="s">
        <v>185</v>
      </c>
      <c r="H176" s="212" t="s">
        <v>486</v>
      </c>
      <c r="I176" s="226" t="s">
        <v>743</v>
      </c>
      <c r="J176" s="226" t="s">
        <v>744</v>
      </c>
      <c r="K176" s="226" t="s">
        <v>745</v>
      </c>
      <c r="L176" s="226">
        <v>167270</v>
      </c>
      <c r="M176" s="212" t="s">
        <v>205</v>
      </c>
      <c r="N176" s="212" t="s">
        <v>390</v>
      </c>
      <c r="O176" s="219">
        <v>97.276591999999994</v>
      </c>
      <c r="P176" s="219">
        <v>24.759551999999999</v>
      </c>
      <c r="Q176" s="233"/>
      <c r="R176" s="329"/>
      <c r="S176" s="330"/>
      <c r="T176" s="222" t="str">
        <f>IF(CampList[[#This Row],[HH]]&gt;0,CampList[[#This Row],[Total]]/CampList[[#This Row],[HH]],"NA")</f>
        <v>NA</v>
      </c>
      <c r="U176" s="214" t="s">
        <v>464</v>
      </c>
      <c r="V176" s="214" t="s">
        <v>995</v>
      </c>
      <c r="W176" s="244" t="s">
        <v>12</v>
      </c>
      <c r="X176" s="214" t="s">
        <v>784</v>
      </c>
      <c r="Y176" s="332"/>
      <c r="Z176" s="224"/>
      <c r="AA176" s="239" t="s">
        <v>773</v>
      </c>
      <c r="AB176" s="225">
        <v>42927</v>
      </c>
      <c r="AC176" s="218" t="s">
        <v>1294</v>
      </c>
      <c r="AD176" s="214" t="str">
        <f ca="1">IFERROR(OFFSET(DistanceToCamp[Nearest Town],MATCH(CampList[[#This Row],[CP_Pcode]],DistanceToCamp[CP_Pcode],0)-1,0,1,1),"")</f>
        <v>Dawthponeyan  Town</v>
      </c>
      <c r="AE176" s="227">
        <f ca="1">IFERROR(OFFSET(DistanceToCamp[distance],MATCH(CampList[[#This Row],[CP_Pcode]],DistanceToCamp[CP_Pcode],0)-1,0,1,1),"")</f>
        <v>24.701686141136339</v>
      </c>
      <c r="AF176" s="228">
        <f ca="1">IFERROR(INT(CampList[[#This Row],[Distance]]/5)+1,"")</f>
        <v>5</v>
      </c>
    </row>
    <row r="177" spans="2:32" ht="15.75" hidden="1" customHeight="1" x14ac:dyDescent="0.3">
      <c r="B177" s="239" t="s">
        <v>775</v>
      </c>
      <c r="C177" s="212" t="s">
        <v>378</v>
      </c>
      <c r="D177" s="212" t="s">
        <v>478</v>
      </c>
      <c r="E177" s="212" t="s">
        <v>5</v>
      </c>
      <c r="F177" s="212" t="s">
        <v>482</v>
      </c>
      <c r="G177" s="212" t="s">
        <v>301</v>
      </c>
      <c r="H177" s="212" t="s">
        <v>493</v>
      </c>
      <c r="I177" s="212" t="s">
        <v>561</v>
      </c>
      <c r="J177" s="212" t="s">
        <v>562</v>
      </c>
      <c r="K177" s="212"/>
      <c r="L177" s="212"/>
      <c r="M177" s="212" t="s">
        <v>12</v>
      </c>
      <c r="N177" s="212" t="s">
        <v>391</v>
      </c>
      <c r="O177" s="219">
        <v>96.793177</v>
      </c>
      <c r="P177" s="219">
        <v>24.224830999999998</v>
      </c>
      <c r="Q177" s="233"/>
      <c r="R177" s="329"/>
      <c r="S177" s="330"/>
      <c r="T177" s="222" t="str">
        <f>IF(CampList[[#This Row],[HH]]&gt;0,CampList[[#This Row],[Total]]/CampList[[#This Row],[HH]],"NA")</f>
        <v>NA</v>
      </c>
      <c r="U177" s="214" t="s">
        <v>464</v>
      </c>
      <c r="V177" s="214" t="s">
        <v>995</v>
      </c>
      <c r="W177" s="246" t="s">
        <v>12</v>
      </c>
      <c r="X177" s="214" t="s">
        <v>742</v>
      </c>
      <c r="Y177" s="332"/>
      <c r="Z177" s="224"/>
      <c r="AA177" s="239" t="s">
        <v>773</v>
      </c>
      <c r="AB177" s="225">
        <v>42927</v>
      </c>
      <c r="AC177" s="218" t="s">
        <v>1291</v>
      </c>
      <c r="AD177" s="214" t="str">
        <f ca="1">IFERROR(OFFSET(DistanceToCamp[Nearest Town],MATCH(CampList[[#This Row],[CP_Pcode]],DistanceToCamp[CP_Pcode],0)-1,0,1,1),"")</f>
        <v>Shwegu Town</v>
      </c>
      <c r="AE177" s="227">
        <f ca="1">IFERROR(OFFSET(DistanceToCamp[distance],MATCH(CampList[[#This Row],[CP_Pcode]],DistanceToCamp[CP_Pcode],0)-1,0,1,1),"")</f>
        <v>2.3794331620169178</v>
      </c>
      <c r="AF177" s="228">
        <f ca="1">IFERROR(INT(CampList[[#This Row],[Distance]]/5)+1,"")</f>
        <v>1</v>
      </c>
    </row>
    <row r="178" spans="2:32" ht="15.75" customHeight="1" x14ac:dyDescent="0.3">
      <c r="B178" s="218" t="s">
        <v>460</v>
      </c>
      <c r="C178" s="212" t="s">
        <v>378</v>
      </c>
      <c r="D178" s="212" t="s">
        <v>478</v>
      </c>
      <c r="E178" s="212" t="s">
        <v>5</v>
      </c>
      <c r="F178" s="212" t="s">
        <v>482</v>
      </c>
      <c r="G178" s="212" t="s">
        <v>185</v>
      </c>
      <c r="H178" s="212" t="s">
        <v>486</v>
      </c>
      <c r="I178" s="212" t="s">
        <v>738</v>
      </c>
      <c r="J178" s="212" t="s">
        <v>924</v>
      </c>
      <c r="K178" s="212" t="s">
        <v>925</v>
      </c>
      <c r="L178" s="212">
        <v>167060</v>
      </c>
      <c r="M178" s="212" t="s">
        <v>474</v>
      </c>
      <c r="N178" s="212" t="s">
        <v>475</v>
      </c>
      <c r="O178" s="248">
        <v>97.343406999999999</v>
      </c>
      <c r="P178" s="219">
        <v>24.377054000000001</v>
      </c>
      <c r="Q178" s="233"/>
      <c r="R178" s="329">
        <v>3</v>
      </c>
      <c r="S178" s="330">
        <v>18</v>
      </c>
      <c r="T178" s="222">
        <f>IF(CampList[[#This Row],[HH]]&gt;0,CampList[[#This Row],[Total]]/CampList[[#This Row],[HH]],"NA")</f>
        <v>6</v>
      </c>
      <c r="U178" s="214" t="s">
        <v>464</v>
      </c>
      <c r="V178" s="214" t="s">
        <v>995</v>
      </c>
      <c r="W178" s="214" t="s">
        <v>12</v>
      </c>
      <c r="X178" s="214" t="s">
        <v>784</v>
      </c>
      <c r="Y178" s="332"/>
      <c r="Z178" s="224" t="s">
        <v>1322</v>
      </c>
      <c r="AA178" s="239" t="s">
        <v>773</v>
      </c>
      <c r="AB178" s="225">
        <v>42950</v>
      </c>
      <c r="AC178" s="218" t="s">
        <v>1167</v>
      </c>
      <c r="AD178" s="214" t="str">
        <f ca="1">IFERROR(OFFSET(DistanceToCamp[Nearest Town],MATCH(CampList[[#This Row],[CP_Pcode]],DistanceToCamp[CP_Pcode],0)-1,0,1,1),"")</f>
        <v>Momauk Town</v>
      </c>
      <c r="AE178" s="227">
        <f ca="1">IFERROR(OFFSET(DistanceToCamp[distance],MATCH(CampList[[#This Row],[CP_Pcode]],DistanceToCamp[CP_Pcode],0)-1,0,1,1),"")</f>
        <v>13.446032768350749</v>
      </c>
      <c r="AF178" s="228">
        <f ca="1">IFERROR(INT(CampList[[#This Row],[Distance]]/5)+1,"")</f>
        <v>3</v>
      </c>
    </row>
    <row r="179" spans="2:32" ht="15.75" hidden="1" customHeight="1" x14ac:dyDescent="0.3">
      <c r="B179" s="218" t="s">
        <v>775</v>
      </c>
      <c r="C179" s="212" t="s">
        <v>506</v>
      </c>
      <c r="D179" s="212" t="s">
        <v>489</v>
      </c>
      <c r="E179" s="212" t="s">
        <v>230</v>
      </c>
      <c r="F179" s="212" t="s">
        <v>490</v>
      </c>
      <c r="G179" s="212" t="s">
        <v>146</v>
      </c>
      <c r="H179" s="212" t="s">
        <v>497</v>
      </c>
      <c r="I179" s="240" t="s">
        <v>706</v>
      </c>
      <c r="J179" s="212" t="s">
        <v>707</v>
      </c>
      <c r="K179" s="240" t="s">
        <v>708</v>
      </c>
      <c r="L179" s="240">
        <v>208557</v>
      </c>
      <c r="M179" s="212" t="s">
        <v>370</v>
      </c>
      <c r="N179" s="212" t="s">
        <v>380</v>
      </c>
      <c r="O179" s="219">
        <v>97.848529999999997</v>
      </c>
      <c r="P179" s="219">
        <v>23.4008</v>
      </c>
      <c r="Q179" s="220">
        <v>0</v>
      </c>
      <c r="R179" s="197"/>
      <c r="S179" s="197"/>
      <c r="T179" s="222" t="str">
        <f>IF(CampList[[#This Row],[HH]]&gt;0,CampList[[#This Row],[Total]]/CampList[[#This Row],[HH]],"NA")</f>
        <v>NA</v>
      </c>
      <c r="U179" s="214" t="s">
        <v>464</v>
      </c>
      <c r="V179" s="214" t="s">
        <v>995</v>
      </c>
      <c r="W179" s="214" t="s">
        <v>507</v>
      </c>
      <c r="X179" s="214" t="s">
        <v>784</v>
      </c>
      <c r="Y179" s="223">
        <v>41275</v>
      </c>
      <c r="Z179" s="223" t="s">
        <v>424</v>
      </c>
      <c r="AA179" s="239" t="s">
        <v>774</v>
      </c>
      <c r="AB179" s="225">
        <v>42852</v>
      </c>
      <c r="AC179" s="218" t="s">
        <v>1239</v>
      </c>
      <c r="AD179" s="214" t="str">
        <f ca="1">IFERROR(OFFSET(DistanceToCamp[Nearest Town],MATCH(CampList[[#This Row],[CP_Pcode]],DistanceToCamp[CP_Pcode],0)-1,0,1,1),"")</f>
        <v>Kutkai Town</v>
      </c>
      <c r="AE179" s="227">
        <f ca="1">IFERROR(OFFSET(DistanceToCamp[distance],MATCH(CampList[[#This Row],[CP_Pcode]],DistanceToCamp[CP_Pcode],0)-1,0,1,1),"")</f>
        <v>11.65743881259678</v>
      </c>
      <c r="AF179" s="228">
        <f ca="1">IFERROR(INT(CampList[[#This Row],[Distance]]/5)+1,"")</f>
        <v>3</v>
      </c>
    </row>
    <row r="180" spans="2:32" ht="15.75" hidden="1" customHeight="1" x14ac:dyDescent="0.3">
      <c r="B180" s="218" t="s">
        <v>775</v>
      </c>
      <c r="C180" s="212" t="s">
        <v>378</v>
      </c>
      <c r="D180" s="212" t="s">
        <v>478</v>
      </c>
      <c r="E180" s="212" t="s">
        <v>180</v>
      </c>
      <c r="F180" s="212" t="s">
        <v>479</v>
      </c>
      <c r="G180" s="212" t="s">
        <v>480</v>
      </c>
      <c r="H180" s="212" t="s">
        <v>481</v>
      </c>
      <c r="I180" s="226" t="s">
        <v>543</v>
      </c>
      <c r="J180" s="226" t="s">
        <v>544</v>
      </c>
      <c r="K180" s="226" t="s">
        <v>547</v>
      </c>
      <c r="L180" s="226" t="s">
        <v>548</v>
      </c>
      <c r="M180" s="212" t="s">
        <v>467</v>
      </c>
      <c r="N180" s="212" t="s">
        <v>468</v>
      </c>
      <c r="O180" s="219">
        <v>96.315601999999998</v>
      </c>
      <c r="P180" s="219">
        <v>25.615006000000001</v>
      </c>
      <c r="Q180" s="233"/>
      <c r="R180" s="302">
        <v>0</v>
      </c>
      <c r="S180" s="303">
        <v>0</v>
      </c>
      <c r="T180" s="222" t="str">
        <f>IF(CampList[[#This Row],[HH]]&gt;0,CampList[[#This Row],[Total]]/CampList[[#This Row],[HH]],"NA")</f>
        <v>NA</v>
      </c>
      <c r="U180" s="214" t="s">
        <v>464</v>
      </c>
      <c r="V180" s="214" t="s">
        <v>995</v>
      </c>
      <c r="W180" s="214" t="s">
        <v>507</v>
      </c>
      <c r="X180" s="214"/>
      <c r="Y180" s="234"/>
      <c r="Z180" s="224"/>
      <c r="AA180" s="239"/>
      <c r="AB180" s="243"/>
      <c r="AC180" s="218" t="s">
        <v>541</v>
      </c>
      <c r="AD180" s="214" t="str">
        <f ca="1">IFERROR(OFFSET(DistanceToCamp[Nearest Town],MATCH(CampList[[#This Row],[CP_Pcode]],DistanceToCamp[CP_Pcode],0)-1,0,1,1),"")</f>
        <v/>
      </c>
      <c r="AE180" s="227" t="str">
        <f ca="1">IFERROR(OFFSET(DistanceToCamp[distance],MATCH(CampList[[#This Row],[CP_Pcode]],DistanceToCamp[CP_Pcode],0)-1,0,1,1),"")</f>
        <v/>
      </c>
      <c r="AF180" s="228" t="str">
        <f ca="1">IFERROR(INT(CampList[[#This Row],[Distance]]/5)+1,"")</f>
        <v/>
      </c>
    </row>
    <row r="181" spans="2:32" ht="23.4" hidden="1" customHeight="1" x14ac:dyDescent="0.3">
      <c r="B181" s="218" t="s">
        <v>775</v>
      </c>
      <c r="C181" s="212" t="s">
        <v>378</v>
      </c>
      <c r="D181" s="212" t="s">
        <v>478</v>
      </c>
      <c r="E181" s="212" t="s">
        <v>5</v>
      </c>
      <c r="F181" s="212" t="s">
        <v>482</v>
      </c>
      <c r="G181" s="212" t="s">
        <v>151</v>
      </c>
      <c r="H181" s="212" t="s">
        <v>492</v>
      </c>
      <c r="I181" s="226" t="s">
        <v>681</v>
      </c>
      <c r="J181" s="226" t="s">
        <v>682</v>
      </c>
      <c r="K181" s="226"/>
      <c r="L181" s="226"/>
      <c r="M181" s="212" t="s">
        <v>469</v>
      </c>
      <c r="N181" s="212" t="s">
        <v>470</v>
      </c>
      <c r="O181" s="219">
        <v>97.601243999999994</v>
      </c>
      <c r="P181" s="219">
        <v>23.867713999999999</v>
      </c>
      <c r="Q181" s="220">
        <v>755</v>
      </c>
      <c r="R181" s="302">
        <v>0</v>
      </c>
      <c r="S181" s="303">
        <v>0</v>
      </c>
      <c r="T181" s="222" t="str">
        <f>IF(CampList[[#This Row],[HH]]&gt;0,CampList[[#This Row],[Total]]/CampList[[#This Row],[HH]],"NA")</f>
        <v>NA</v>
      </c>
      <c r="U181" s="214" t="s">
        <v>466</v>
      </c>
      <c r="V181" s="214" t="s">
        <v>995</v>
      </c>
      <c r="W181" s="214" t="s">
        <v>507</v>
      </c>
      <c r="X181" s="214" t="s">
        <v>784</v>
      </c>
      <c r="Y181" s="223">
        <v>41365</v>
      </c>
      <c r="Z181" s="223" t="s">
        <v>935</v>
      </c>
      <c r="AA181" s="239" t="s">
        <v>774</v>
      </c>
      <c r="AB181" s="225">
        <v>41811</v>
      </c>
      <c r="AC181" s="218" t="s">
        <v>941</v>
      </c>
      <c r="AD181" s="214" t="str">
        <f ca="1">IFERROR(OFFSET(DistanceToCamp[Nearest Town],MATCH(CampList[[#This Row],[CP_Pcode]],DistanceToCamp[CP_Pcode],0)-1,0,1,1),"")</f>
        <v/>
      </c>
      <c r="AE181" s="227" t="str">
        <f ca="1">IFERROR(OFFSET(DistanceToCamp[distance],MATCH(CampList[[#This Row],[CP_Pcode]],DistanceToCamp[CP_Pcode],0)-1,0,1,1),"")</f>
        <v/>
      </c>
      <c r="AF181" s="228" t="str">
        <f ca="1">IFERROR(INT(CampList[[#This Row],[Distance]]/5)+1,"")</f>
        <v/>
      </c>
    </row>
    <row r="182" spans="2:32" ht="15.75" hidden="1" customHeight="1" x14ac:dyDescent="0.3">
      <c r="B182" s="218" t="s">
        <v>775</v>
      </c>
      <c r="C182" s="212" t="s">
        <v>378</v>
      </c>
      <c r="D182" s="212" t="s">
        <v>478</v>
      </c>
      <c r="E182" s="212" t="s">
        <v>5</v>
      </c>
      <c r="F182" s="212" t="s">
        <v>482</v>
      </c>
      <c r="G182" s="212" t="s">
        <v>151</v>
      </c>
      <c r="H182" s="212" t="s">
        <v>492</v>
      </c>
      <c r="I182" s="226" t="s">
        <v>566</v>
      </c>
      <c r="J182" s="226" t="s">
        <v>567</v>
      </c>
      <c r="K182" s="226"/>
      <c r="L182" s="226"/>
      <c r="M182" s="212" t="s">
        <v>471</v>
      </c>
      <c r="N182" s="212" t="s">
        <v>472</v>
      </c>
      <c r="O182" s="219">
        <v>96.808850000000007</v>
      </c>
      <c r="P182" s="219">
        <v>24.20645</v>
      </c>
      <c r="Q182" s="220">
        <v>781.8</v>
      </c>
      <c r="R182" s="302">
        <v>0</v>
      </c>
      <c r="S182" s="303">
        <v>0</v>
      </c>
      <c r="T182" s="222" t="str">
        <f>IF(CampList[[#This Row],[HH]]&gt;0,CampList[[#This Row],[Total]]/CampList[[#This Row],[HH]],"NA")</f>
        <v>NA</v>
      </c>
      <c r="U182" s="214" t="s">
        <v>466</v>
      </c>
      <c r="V182" s="214" t="s">
        <v>995</v>
      </c>
      <c r="W182" s="214" t="s">
        <v>507</v>
      </c>
      <c r="X182" s="214" t="s">
        <v>784</v>
      </c>
      <c r="Y182" s="223">
        <v>41091</v>
      </c>
      <c r="Z182" s="223"/>
      <c r="AA182" s="239" t="s">
        <v>774</v>
      </c>
      <c r="AB182" s="225">
        <v>41661</v>
      </c>
      <c r="AC182" s="218" t="s">
        <v>843</v>
      </c>
      <c r="AD182" s="214" t="str">
        <f ca="1">IFERROR(OFFSET(DistanceToCamp[Nearest Town],MATCH(CampList[[#This Row],[CP_Pcode]],DistanceToCamp[CP_Pcode],0)-1,0,1,1),"")</f>
        <v/>
      </c>
      <c r="AE182" s="227" t="str">
        <f ca="1">IFERROR(OFFSET(DistanceToCamp[distance],MATCH(CampList[[#This Row],[CP_Pcode]],DistanceToCamp[CP_Pcode],0)-1,0,1,1),"")</f>
        <v/>
      </c>
      <c r="AF182" s="228" t="str">
        <f ca="1">IFERROR(INT(CampList[[#This Row],[Distance]]/5)+1,"")</f>
        <v/>
      </c>
    </row>
    <row r="183" spans="2:32" ht="15.75" hidden="1" customHeight="1" x14ac:dyDescent="0.3">
      <c r="B183" s="218" t="s">
        <v>775</v>
      </c>
      <c r="C183" s="212" t="s">
        <v>378</v>
      </c>
      <c r="D183" s="212" t="s">
        <v>478</v>
      </c>
      <c r="E183" s="212" t="s">
        <v>5</v>
      </c>
      <c r="F183" s="212" t="s">
        <v>482</v>
      </c>
      <c r="G183" s="212" t="s">
        <v>151</v>
      </c>
      <c r="H183" s="212" t="s">
        <v>492</v>
      </c>
      <c r="I183" s="226" t="s">
        <v>568</v>
      </c>
      <c r="J183" s="226" t="s">
        <v>569</v>
      </c>
      <c r="K183" s="226"/>
      <c r="L183" s="226"/>
      <c r="M183" s="212" t="s">
        <v>791</v>
      </c>
      <c r="N183" s="212" t="s">
        <v>473</v>
      </c>
      <c r="O183" s="219">
        <v>97.132339999999999</v>
      </c>
      <c r="P183" s="219">
        <v>23.75817</v>
      </c>
      <c r="Q183" s="220">
        <v>781.8</v>
      </c>
      <c r="R183" s="302">
        <v>0</v>
      </c>
      <c r="S183" s="303">
        <v>0</v>
      </c>
      <c r="T183" s="222" t="str">
        <f>IF(CampList[[#This Row],[HH]]&gt;0,CampList[[#This Row],[Total]]/CampList[[#This Row],[HH]],"NA")</f>
        <v>NA</v>
      </c>
      <c r="U183" s="214" t="s">
        <v>466</v>
      </c>
      <c r="V183" s="214" t="s">
        <v>995</v>
      </c>
      <c r="W183" s="214" t="s">
        <v>507</v>
      </c>
      <c r="X183" s="214" t="s">
        <v>784</v>
      </c>
      <c r="Y183" s="223">
        <v>41091</v>
      </c>
      <c r="Z183" s="223"/>
      <c r="AA183" s="239" t="s">
        <v>774</v>
      </c>
      <c r="AB183" s="243"/>
      <c r="AC183" s="218" t="s">
        <v>843</v>
      </c>
      <c r="AD183" s="214" t="str">
        <f ca="1">IFERROR(OFFSET(DistanceToCamp[Nearest Town],MATCH(CampList[[#This Row],[CP_Pcode]],DistanceToCamp[CP_Pcode],0)-1,0,1,1),"")</f>
        <v/>
      </c>
      <c r="AE183" s="227" t="str">
        <f ca="1">IFERROR(OFFSET(DistanceToCamp[distance],MATCH(CampList[[#This Row],[CP_Pcode]],DistanceToCamp[CP_Pcode],0)-1,0,1,1),"")</f>
        <v/>
      </c>
      <c r="AF183" s="228" t="str">
        <f ca="1">IFERROR(INT(CampList[[#This Row],[Distance]]/5)+1,"")</f>
        <v/>
      </c>
    </row>
    <row r="184" spans="2:32" ht="15.75" customHeight="1" x14ac:dyDescent="0.3">
      <c r="B184" s="231" t="s">
        <v>460</v>
      </c>
      <c r="C184" s="213" t="s">
        <v>506</v>
      </c>
      <c r="D184" s="213" t="s">
        <v>489</v>
      </c>
      <c r="E184" s="213" t="s">
        <v>230</v>
      </c>
      <c r="F184" s="213" t="s">
        <v>490</v>
      </c>
      <c r="G184" s="213" t="s">
        <v>146</v>
      </c>
      <c r="H184" s="213" t="s">
        <v>497</v>
      </c>
      <c r="I184" s="213" t="s">
        <v>669</v>
      </c>
      <c r="J184" s="232" t="s">
        <v>670</v>
      </c>
      <c r="K184" s="213" t="s">
        <v>654</v>
      </c>
      <c r="L184" s="213" t="s">
        <v>673</v>
      </c>
      <c r="M184" s="213" t="s">
        <v>368</v>
      </c>
      <c r="N184" s="213" t="s">
        <v>382</v>
      </c>
      <c r="O184" s="221">
        <v>97.947360000000003</v>
      </c>
      <c r="P184" s="221">
        <v>23.460349999999998</v>
      </c>
      <c r="Q184" s="233">
        <v>4430</v>
      </c>
      <c r="R184" s="221">
        <v>29</v>
      </c>
      <c r="S184" s="233">
        <v>138</v>
      </c>
      <c r="T184" s="222">
        <f>IF(CampList[[#This Row],[HH]]&gt;0,CampList[[#This Row],[Total]]/CampList[[#This Row],[HH]],"NA")</f>
        <v>4.7586206896551726</v>
      </c>
      <c r="U184" s="197" t="s">
        <v>464</v>
      </c>
      <c r="V184" s="214" t="s">
        <v>995</v>
      </c>
      <c r="W184" s="197" t="s">
        <v>507</v>
      </c>
      <c r="X184" s="197" t="s">
        <v>742</v>
      </c>
      <c r="Y184" s="234">
        <v>41244</v>
      </c>
      <c r="Z184" s="233" t="s">
        <v>1048</v>
      </c>
      <c r="AA184" s="213" t="s">
        <v>774</v>
      </c>
      <c r="AB184" s="557">
        <v>43230</v>
      </c>
      <c r="AC184" s="235" t="s">
        <v>1727</v>
      </c>
      <c r="AD184" s="236" t="str">
        <f ca="1">IFERROR(OFFSET(DistanceToCamp[Nearest Town],MATCH(CampList[[#This Row],[CP_Pcode]],DistanceToCamp[CP_Pcode],0)-1,0,1,1),"")</f>
        <v>Kutkai Town</v>
      </c>
      <c r="AE184" s="227">
        <f ca="1">IFERROR(OFFSET(DistanceToCamp[distance],MATCH(CampList[[#This Row],[CP_Pcode]],DistanceToCamp[CP_Pcode],0)-1,0,1,1),"")</f>
        <v>0.42212558305526549</v>
      </c>
      <c r="AF184" s="237">
        <f ca="1">IFERROR(INT(CampList[[#This Row],[Distance]]/5)+1,"")</f>
        <v>1</v>
      </c>
    </row>
    <row r="185" spans="2:32" ht="15.75" customHeight="1" x14ac:dyDescent="0.3">
      <c r="B185" s="239" t="s">
        <v>460</v>
      </c>
      <c r="C185" s="212" t="s">
        <v>378</v>
      </c>
      <c r="D185" s="212" t="s">
        <v>478</v>
      </c>
      <c r="E185" s="212" t="s">
        <v>299</v>
      </c>
      <c r="F185" s="212" t="s">
        <v>499</v>
      </c>
      <c r="G185" s="212" t="s">
        <v>746</v>
      </c>
      <c r="H185" s="212" t="s">
        <v>747</v>
      </c>
      <c r="I185" s="212" t="s">
        <v>748</v>
      </c>
      <c r="J185" s="212" t="s">
        <v>749</v>
      </c>
      <c r="K185" s="212"/>
      <c r="L185" s="212"/>
      <c r="M185" s="212" t="s">
        <v>746</v>
      </c>
      <c r="N185" s="212" t="s">
        <v>750</v>
      </c>
      <c r="O185" s="219">
        <v>97.568836000000005</v>
      </c>
      <c r="P185" s="219">
        <v>26.541930000000001</v>
      </c>
      <c r="Q185" s="220">
        <v>1025</v>
      </c>
      <c r="R185" s="220">
        <v>5</v>
      </c>
      <c r="S185" s="233">
        <v>32</v>
      </c>
      <c r="T185" s="222">
        <f>IF(CampList[[#This Row],[HH]]&gt;0,CampList[[#This Row],[Total]]/CampList[[#This Row],[HH]],"NA")</f>
        <v>6.4</v>
      </c>
      <c r="U185" s="214" t="s">
        <v>464</v>
      </c>
      <c r="V185" s="214" t="s">
        <v>995</v>
      </c>
      <c r="W185" s="214" t="s">
        <v>1391</v>
      </c>
      <c r="X185" s="214" t="s">
        <v>784</v>
      </c>
      <c r="Y185" s="331"/>
      <c r="Z185" s="224" t="s">
        <v>1322</v>
      </c>
      <c r="AA185" s="239" t="s">
        <v>773</v>
      </c>
      <c r="AB185" s="225">
        <v>42927</v>
      </c>
      <c r="AC185" s="226"/>
      <c r="AD185" s="214" t="str">
        <f ca="1">IFERROR(OFFSET(DistanceToCamp[Nearest Town],MATCH(CampList[[#This Row],[CP_Pcode]],DistanceToCamp[CP_Pcode],0)-1,0,1,1),"")</f>
        <v>Sumprabum Town</v>
      </c>
      <c r="AE185" s="227">
        <f ca="1">IFERROR(OFFSET(DistanceToCamp[distance],MATCH(CampList[[#This Row],[CP_Pcode]],DistanceToCamp[CP_Pcode],0)-1,0,1,1),"")</f>
        <v>0.23004407510846425</v>
      </c>
      <c r="AF185" s="228">
        <f ca="1">IFERROR(INT(CampList[[#This Row],[Distance]]/5)+1,"")</f>
        <v>1</v>
      </c>
    </row>
    <row r="186" spans="2:32" ht="15.75" customHeight="1" x14ac:dyDescent="0.3">
      <c r="B186" s="239" t="s">
        <v>460</v>
      </c>
      <c r="C186" s="212" t="s">
        <v>378</v>
      </c>
      <c r="D186" s="212" t="s">
        <v>478</v>
      </c>
      <c r="E186" s="212" t="s">
        <v>237</v>
      </c>
      <c r="F186" s="212" t="s">
        <v>484</v>
      </c>
      <c r="G186" s="212" t="s">
        <v>309</v>
      </c>
      <c r="H186" s="212" t="s">
        <v>485</v>
      </c>
      <c r="I186" s="212" t="s">
        <v>667</v>
      </c>
      <c r="J186" s="212" t="s">
        <v>668</v>
      </c>
      <c r="K186" s="212"/>
      <c r="L186" s="230"/>
      <c r="M186" s="212" t="s">
        <v>751</v>
      </c>
      <c r="N186" s="212" t="s">
        <v>752</v>
      </c>
      <c r="O186" s="219">
        <v>97.541793999999996</v>
      </c>
      <c r="P186" s="219">
        <v>24.752471</v>
      </c>
      <c r="Q186" s="233"/>
      <c r="R186" s="221"/>
      <c r="S186" s="233">
        <v>872</v>
      </c>
      <c r="T186" s="222" t="str">
        <f>IF(CampList[[#This Row],[HH]]&gt;0,CampList[[#This Row],[Total]]/CampList[[#This Row],[HH]],"NA")</f>
        <v>NA</v>
      </c>
      <c r="U186" s="214" t="s">
        <v>466</v>
      </c>
      <c r="V186" s="214" t="s">
        <v>995</v>
      </c>
      <c r="W186" s="214" t="s">
        <v>849</v>
      </c>
      <c r="X186" s="214" t="s">
        <v>742</v>
      </c>
      <c r="Y186" s="332"/>
      <c r="Z186" s="224" t="s">
        <v>1322</v>
      </c>
      <c r="AA186" s="239" t="s">
        <v>522</v>
      </c>
      <c r="AB186" s="225">
        <v>42736</v>
      </c>
      <c r="AC186" s="226" t="s">
        <v>951</v>
      </c>
      <c r="AD186" s="214" t="str">
        <f ca="1">IFERROR(OFFSET(DistanceToCamp[Nearest Town],MATCH(CampList[[#This Row],[CP_Pcode]],DistanceToCamp[CP_Pcode],0)-1,0,1,1),"")</f>
        <v>Laiza town</v>
      </c>
      <c r="AE186" s="227">
        <f ca="1">IFERROR(OFFSET(DistanceToCamp[distance],MATCH(CampList[[#This Row],[CP_Pcode]],DistanceToCamp[CP_Pcode],0)-1,0,1,1),"")</f>
        <v>2.3307568207764655</v>
      </c>
      <c r="AF186" s="228">
        <f ca="1">IFERROR(INT(CampList[[#This Row],[Distance]]/5)+1,"")</f>
        <v>1</v>
      </c>
    </row>
    <row r="187" spans="2:32" ht="15.75" hidden="1" customHeight="1" x14ac:dyDescent="0.3">
      <c r="B187" s="218" t="s">
        <v>775</v>
      </c>
      <c r="C187" s="212" t="s">
        <v>378</v>
      </c>
      <c r="D187" s="212" t="s">
        <v>478</v>
      </c>
      <c r="E187" s="212" t="s">
        <v>5</v>
      </c>
      <c r="F187" s="212" t="s">
        <v>482</v>
      </c>
      <c r="G187" s="212" t="s">
        <v>151</v>
      </c>
      <c r="H187" s="212" t="s">
        <v>492</v>
      </c>
      <c r="I187" s="226" t="s">
        <v>568</v>
      </c>
      <c r="J187" s="226" t="s">
        <v>569</v>
      </c>
      <c r="K187" s="212"/>
      <c r="L187" s="230"/>
      <c r="M187" s="212" t="s">
        <v>792</v>
      </c>
      <c r="N187" s="212" t="s">
        <v>793</v>
      </c>
      <c r="O187" s="219"/>
      <c r="P187" s="219"/>
      <c r="Q187" s="233"/>
      <c r="R187" s="302">
        <v>0</v>
      </c>
      <c r="S187" s="303">
        <v>0</v>
      </c>
      <c r="T187" s="222" t="str">
        <f>IF(CampList[[#This Row],[HH]]&gt;0,CampList[[#This Row],[Total]]/CampList[[#This Row],[HH]],"NA")</f>
        <v>NA</v>
      </c>
      <c r="U187" s="214" t="s">
        <v>466</v>
      </c>
      <c r="V187" s="214" t="s">
        <v>995</v>
      </c>
      <c r="W187" s="214" t="s">
        <v>507</v>
      </c>
      <c r="X187" s="214"/>
      <c r="Y187" s="234"/>
      <c r="Z187" s="224"/>
      <c r="AA187" s="239" t="s">
        <v>774</v>
      </c>
      <c r="AB187" s="243"/>
      <c r="AC187" s="218" t="s">
        <v>843</v>
      </c>
      <c r="AD187" s="214" t="str">
        <f ca="1">IFERROR(OFFSET(DistanceToCamp[Nearest Town],MATCH(CampList[[#This Row],[CP_Pcode]],DistanceToCamp[CP_Pcode],0)-1,0,1,1),"")</f>
        <v/>
      </c>
      <c r="AE187" s="227" t="str">
        <f ca="1">IFERROR(OFFSET(DistanceToCamp[distance],MATCH(CampList[[#This Row],[CP_Pcode]],DistanceToCamp[CP_Pcode],0)-1,0,1,1),"")</f>
        <v/>
      </c>
      <c r="AF187" s="228" t="str">
        <f ca="1">IFERROR(INT(CampList[[#This Row],[Distance]]/5)+1,"")</f>
        <v/>
      </c>
    </row>
    <row r="188" spans="2:32" ht="15.75" customHeight="1" x14ac:dyDescent="0.3">
      <c r="B188" s="231" t="s">
        <v>460</v>
      </c>
      <c r="C188" s="213" t="s">
        <v>378</v>
      </c>
      <c r="D188" s="213" t="s">
        <v>478</v>
      </c>
      <c r="E188" s="213" t="s">
        <v>237</v>
      </c>
      <c r="F188" s="213" t="s">
        <v>484</v>
      </c>
      <c r="G188" s="213" t="s">
        <v>27</v>
      </c>
      <c r="H188" s="213" t="s">
        <v>487</v>
      </c>
      <c r="I188" s="213" t="s">
        <v>999</v>
      </c>
      <c r="J188" s="232" t="s">
        <v>1104</v>
      </c>
      <c r="K188" s="213" t="s">
        <v>656</v>
      </c>
      <c r="L188" s="213" t="s">
        <v>1105</v>
      </c>
      <c r="M188" s="213" t="s">
        <v>790</v>
      </c>
      <c r="N188" s="213" t="s">
        <v>789</v>
      </c>
      <c r="O188" s="221">
        <v>98.377780000000001</v>
      </c>
      <c r="P188" s="221">
        <v>25.60867</v>
      </c>
      <c r="Q188" s="233">
        <v>2345</v>
      </c>
      <c r="R188" s="292">
        <v>57</v>
      </c>
      <c r="S188" s="292">
        <v>270</v>
      </c>
      <c r="T188" s="222">
        <f>IF(CampList[[#This Row],[HH]]&gt;0,CampList[[#This Row],[Total]]/CampList[[#This Row],[HH]],"NA")</f>
        <v>4.7368421052631575</v>
      </c>
      <c r="U188" s="197" t="s">
        <v>464</v>
      </c>
      <c r="V188" s="214" t="s">
        <v>995</v>
      </c>
      <c r="W188" s="197" t="s">
        <v>507</v>
      </c>
      <c r="X188" s="197" t="s">
        <v>784</v>
      </c>
      <c r="Y188" s="332">
        <v>41091</v>
      </c>
      <c r="Z188" s="233" t="s">
        <v>936</v>
      </c>
      <c r="AA188" s="213" t="s">
        <v>774</v>
      </c>
      <c r="AB188" s="225">
        <v>43230</v>
      </c>
      <c r="AC188" s="235" t="s">
        <v>1702</v>
      </c>
      <c r="AD188" s="236" t="str">
        <f ca="1">IFERROR(OFFSET(DistanceToCamp[Nearest Town],MATCH(CampList[[#This Row],[CP_Pcode]],DistanceToCamp[CP_Pcode],0)-1,0,1,1),"")</f>
        <v>Pang War Town</v>
      </c>
      <c r="AE188" s="227">
        <f ca="1">IFERROR(OFFSET(DistanceToCamp[distance],MATCH(CampList[[#This Row],[CP_Pcode]],DistanceToCamp[CP_Pcode],0)-1,0,1,1),"")</f>
        <v>0.18710270881855062</v>
      </c>
      <c r="AF188" s="237">
        <f ca="1">IFERROR(INT(CampList[[#This Row],[Distance]]/5)+1,"")</f>
        <v>1</v>
      </c>
    </row>
    <row r="189" spans="2:32" ht="15.75" hidden="1" customHeight="1" x14ac:dyDescent="0.3">
      <c r="B189" s="218" t="s">
        <v>775</v>
      </c>
      <c r="C189" s="212" t="s">
        <v>378</v>
      </c>
      <c r="D189" s="212" t="s">
        <v>478</v>
      </c>
      <c r="E189" s="212" t="s">
        <v>5</v>
      </c>
      <c r="F189" s="212" t="s">
        <v>482</v>
      </c>
      <c r="G189" s="212" t="s">
        <v>5</v>
      </c>
      <c r="H189" s="212" t="s">
        <v>483</v>
      </c>
      <c r="I189" s="226"/>
      <c r="J189" s="226"/>
      <c r="K189" s="226"/>
      <c r="L189" s="226"/>
      <c r="M189" s="212" t="s">
        <v>795</v>
      </c>
      <c r="N189" s="212" t="s">
        <v>783</v>
      </c>
      <c r="O189" s="219"/>
      <c r="P189" s="219"/>
      <c r="Q189" s="220"/>
      <c r="R189" s="302">
        <v>0</v>
      </c>
      <c r="S189" s="303">
        <v>0</v>
      </c>
      <c r="T189" s="222" t="str">
        <f>IF(CampList[[#This Row],[HH]]&gt;0,CampList[[#This Row],[Total]]/CampList[[#This Row],[HH]],"NA")</f>
        <v>NA</v>
      </c>
      <c r="U189" s="214" t="s">
        <v>464</v>
      </c>
      <c r="V189" s="214" t="s">
        <v>995</v>
      </c>
      <c r="W189" s="214" t="s">
        <v>507</v>
      </c>
      <c r="X189" s="214" t="s">
        <v>742</v>
      </c>
      <c r="Y189" s="223"/>
      <c r="Z189" s="223"/>
      <c r="AA189" s="239" t="s">
        <v>774</v>
      </c>
      <c r="AB189" s="225">
        <v>41701</v>
      </c>
      <c r="AC189" s="218" t="s">
        <v>873</v>
      </c>
      <c r="AD189" s="214" t="str">
        <f ca="1">IFERROR(OFFSET(DistanceToCamp[Nearest Town],MATCH(CampList[[#This Row],[CP_Pcode]],DistanceToCamp[CP_Pcode],0)-1,0,1,1),"")</f>
        <v/>
      </c>
      <c r="AE189" s="227" t="str">
        <f ca="1">IFERROR(OFFSET(DistanceToCamp[distance],MATCH(CampList[[#This Row],[CP_Pcode]],DistanceToCamp[CP_Pcode],0)-1,0,1,1),"")</f>
        <v/>
      </c>
      <c r="AF189" s="228" t="str">
        <f ca="1">IFERROR(INT(CampList[[#This Row],[Distance]]/5)+1,"")</f>
        <v/>
      </c>
    </row>
    <row r="190" spans="2:32" ht="15.75" hidden="1" customHeight="1" x14ac:dyDescent="0.3">
      <c r="B190" s="218" t="s">
        <v>775</v>
      </c>
      <c r="C190" s="212" t="s">
        <v>378</v>
      </c>
      <c r="D190" s="212" t="s">
        <v>478</v>
      </c>
      <c r="E190" s="212" t="s">
        <v>5</v>
      </c>
      <c r="F190" s="212" t="s">
        <v>482</v>
      </c>
      <c r="G190" s="212" t="s">
        <v>151</v>
      </c>
      <c r="H190" s="212" t="s">
        <v>492</v>
      </c>
      <c r="I190" s="226" t="s">
        <v>798</v>
      </c>
      <c r="J190" s="226" t="s">
        <v>799</v>
      </c>
      <c r="K190" s="226" t="s">
        <v>797</v>
      </c>
      <c r="L190" s="226">
        <v>167391</v>
      </c>
      <c r="M190" s="212" t="s">
        <v>802</v>
      </c>
      <c r="N190" s="212" t="s">
        <v>796</v>
      </c>
      <c r="O190" s="219">
        <v>97.710989999999995</v>
      </c>
      <c r="P190" s="249">
        <v>24.181640000000002</v>
      </c>
      <c r="Q190" s="233"/>
      <c r="R190" s="302">
        <v>0</v>
      </c>
      <c r="S190" s="303">
        <v>0</v>
      </c>
      <c r="T190" s="222" t="str">
        <f>IF(CampList[[#This Row],[HH]]&gt;0,CampList[[#This Row],[Total]]/CampList[[#This Row],[HH]],"NA")</f>
        <v>NA</v>
      </c>
      <c r="U190" s="214" t="s">
        <v>464</v>
      </c>
      <c r="V190" s="214" t="s">
        <v>995</v>
      </c>
      <c r="W190" s="214" t="s">
        <v>507</v>
      </c>
      <c r="X190" s="214"/>
      <c r="Y190" s="234"/>
      <c r="Z190" s="224"/>
      <c r="AA190" s="239" t="s">
        <v>774</v>
      </c>
      <c r="AB190" s="225">
        <v>41701</v>
      </c>
      <c r="AC190" s="218" t="s">
        <v>868</v>
      </c>
      <c r="AD190" s="214" t="str">
        <f ca="1">IFERROR(OFFSET(DistanceToCamp[Nearest Town],MATCH(CampList[[#This Row],[CP_Pcode]],DistanceToCamp[CP_Pcode],0)-1,0,1,1),"")</f>
        <v/>
      </c>
      <c r="AE190" s="227" t="str">
        <f ca="1">IFERROR(OFFSET(DistanceToCamp[distance],MATCH(CampList[[#This Row],[CP_Pcode]],DistanceToCamp[CP_Pcode],0)-1,0,1,1),"")</f>
        <v/>
      </c>
      <c r="AF190" s="228" t="str">
        <f ca="1">IFERROR(INT(CampList[[#This Row],[Distance]]/5)+1,"")</f>
        <v/>
      </c>
    </row>
    <row r="191" spans="2:32" ht="15.75" hidden="1" customHeight="1" x14ac:dyDescent="0.3">
      <c r="B191" s="218" t="s">
        <v>775</v>
      </c>
      <c r="C191" s="212" t="s">
        <v>378</v>
      </c>
      <c r="D191" s="212" t="s">
        <v>478</v>
      </c>
      <c r="E191" s="212" t="s">
        <v>5</v>
      </c>
      <c r="F191" s="212" t="s">
        <v>482</v>
      </c>
      <c r="G191" s="212" t="s">
        <v>151</v>
      </c>
      <c r="H191" s="212" t="s">
        <v>492</v>
      </c>
      <c r="I191" s="226" t="s">
        <v>798</v>
      </c>
      <c r="J191" s="226" t="s">
        <v>799</v>
      </c>
      <c r="K191" s="226" t="s">
        <v>797</v>
      </c>
      <c r="L191" s="226">
        <v>167391</v>
      </c>
      <c r="M191" s="212" t="s">
        <v>801</v>
      </c>
      <c r="N191" s="212" t="s">
        <v>800</v>
      </c>
      <c r="O191" s="219">
        <v>97.710989999999995</v>
      </c>
      <c r="P191" s="249">
        <v>24.181640000000002</v>
      </c>
      <c r="Q191" s="233"/>
      <c r="R191" s="302">
        <v>0</v>
      </c>
      <c r="S191" s="303">
        <v>0</v>
      </c>
      <c r="T191" s="222" t="str">
        <f>IF(CampList[[#This Row],[HH]]&gt;0,CampList[[#This Row],[Total]]/CampList[[#This Row],[HH]],"NA")</f>
        <v>NA</v>
      </c>
      <c r="U191" s="214" t="s">
        <v>464</v>
      </c>
      <c r="V191" s="214" t="s">
        <v>995</v>
      </c>
      <c r="W191" s="214" t="s">
        <v>507</v>
      </c>
      <c r="X191" s="214"/>
      <c r="Y191" s="234"/>
      <c r="Z191" s="224"/>
      <c r="AA191" s="239" t="s">
        <v>774</v>
      </c>
      <c r="AB191" s="225">
        <v>41701</v>
      </c>
      <c r="AC191" s="218" t="s">
        <v>868</v>
      </c>
      <c r="AD191" s="214" t="str">
        <f ca="1">IFERROR(OFFSET(DistanceToCamp[Nearest Town],MATCH(CampList[[#This Row],[CP_Pcode]],DistanceToCamp[CP_Pcode],0)-1,0,1,1),"")</f>
        <v/>
      </c>
      <c r="AE191" s="227" t="str">
        <f ca="1">IFERROR(OFFSET(DistanceToCamp[distance],MATCH(CampList[[#This Row],[CP_Pcode]],DistanceToCamp[CP_Pcode],0)-1,0,1,1),"")</f>
        <v/>
      </c>
      <c r="AF191" s="228" t="str">
        <f ca="1">IFERROR(INT(CampList[[#This Row],[Distance]]/5)+1,"")</f>
        <v/>
      </c>
    </row>
    <row r="192" spans="2:32" ht="15.75" hidden="1" customHeight="1" x14ac:dyDescent="0.3">
      <c r="B192" s="218" t="s">
        <v>775</v>
      </c>
      <c r="C192" s="212" t="s">
        <v>506</v>
      </c>
      <c r="D192" s="212" t="s">
        <v>489</v>
      </c>
      <c r="E192" s="212" t="s">
        <v>230</v>
      </c>
      <c r="F192" s="212" t="s">
        <v>490</v>
      </c>
      <c r="G192" s="212" t="s">
        <v>146</v>
      </c>
      <c r="H192" s="212" t="s">
        <v>497</v>
      </c>
      <c r="I192" s="212" t="s">
        <v>725</v>
      </c>
      <c r="J192" s="212" t="s">
        <v>726</v>
      </c>
      <c r="K192" s="240" t="s">
        <v>727</v>
      </c>
      <c r="L192" s="240"/>
      <c r="M192" s="212" t="s">
        <v>365</v>
      </c>
      <c r="N192" s="212" t="s">
        <v>384</v>
      </c>
      <c r="O192" s="219">
        <v>98.213958000000005</v>
      </c>
      <c r="P192" s="219">
        <v>23.391741</v>
      </c>
      <c r="Q192" s="220">
        <v>0</v>
      </c>
      <c r="R192" s="302">
        <v>0</v>
      </c>
      <c r="S192" s="303">
        <v>0</v>
      </c>
      <c r="T192" s="222" t="str">
        <f>IF(CampList[[#This Row],[HH]]&gt;0,CampList[[#This Row],[Total]]/CampList[[#This Row],[HH]],"NA")</f>
        <v>NA</v>
      </c>
      <c r="U192" s="214" t="s">
        <v>464</v>
      </c>
      <c r="V192" s="214" t="s">
        <v>995</v>
      </c>
      <c r="W192" s="214" t="s">
        <v>507</v>
      </c>
      <c r="X192" s="214" t="s">
        <v>784</v>
      </c>
      <c r="Y192" s="223">
        <v>40787</v>
      </c>
      <c r="Z192" s="223"/>
      <c r="AA192" s="239" t="s">
        <v>774</v>
      </c>
      <c r="AB192" s="225">
        <v>41701</v>
      </c>
      <c r="AC192" s="218" t="s">
        <v>871</v>
      </c>
      <c r="AD192" s="214" t="str">
        <f ca="1">IFERROR(OFFSET(DistanceToCamp[Nearest Town],MATCH(CampList[[#This Row],[CP_Pcode]],DistanceToCamp[CP_Pcode],0)-1,0,1,1),"")</f>
        <v/>
      </c>
      <c r="AE192" s="227" t="str">
        <f ca="1">IFERROR(OFFSET(DistanceToCamp[distance],MATCH(CampList[[#This Row],[CP_Pcode]],DistanceToCamp[CP_Pcode],0)-1,0,1,1),"")</f>
        <v/>
      </c>
      <c r="AF192" s="228" t="str">
        <f ca="1">IFERROR(INT(CampList[[#This Row],[Distance]]/5)+1,"")</f>
        <v/>
      </c>
    </row>
    <row r="193" spans="2:32" ht="15.75" hidden="1" customHeight="1" x14ac:dyDescent="0.3">
      <c r="B193" s="218" t="s">
        <v>775</v>
      </c>
      <c r="C193" s="212" t="s">
        <v>378</v>
      </c>
      <c r="D193" s="212" t="s">
        <v>478</v>
      </c>
      <c r="E193" s="212" t="s">
        <v>5</v>
      </c>
      <c r="F193" s="212" t="s">
        <v>482</v>
      </c>
      <c r="G193" s="212" t="s">
        <v>151</v>
      </c>
      <c r="H193" s="212" t="s">
        <v>492</v>
      </c>
      <c r="I193" s="226"/>
      <c r="J193" s="226"/>
      <c r="K193" s="226"/>
      <c r="L193" s="226"/>
      <c r="M193" s="212" t="s">
        <v>804</v>
      </c>
      <c r="N193" s="212" t="s">
        <v>805</v>
      </c>
      <c r="O193" s="219"/>
      <c r="P193" s="219"/>
      <c r="Q193" s="233"/>
      <c r="R193" s="302">
        <v>0</v>
      </c>
      <c r="S193" s="303">
        <v>0</v>
      </c>
      <c r="T193" s="222" t="str">
        <f>IF(CampList[[#This Row],[HH]]&gt;0,CampList[[#This Row],[Total]]/CampList[[#This Row],[HH]],"NA")</f>
        <v>NA</v>
      </c>
      <c r="U193" s="214" t="s">
        <v>464</v>
      </c>
      <c r="V193" s="214" t="s">
        <v>995</v>
      </c>
      <c r="W193" s="214" t="s">
        <v>507</v>
      </c>
      <c r="X193" s="214"/>
      <c r="Y193" s="234"/>
      <c r="Z193" s="224"/>
      <c r="AA193" s="239" t="s">
        <v>774</v>
      </c>
      <c r="AB193" s="225">
        <v>41701</v>
      </c>
      <c r="AC193" s="218" t="s">
        <v>867</v>
      </c>
      <c r="AD193" s="214" t="str">
        <f ca="1">IFERROR(OFFSET(DistanceToCamp[Nearest Town],MATCH(CampList[[#This Row],[CP_Pcode]],DistanceToCamp[CP_Pcode],0)-1,0,1,1),"")</f>
        <v/>
      </c>
      <c r="AE193" s="227" t="str">
        <f ca="1">IFERROR(OFFSET(DistanceToCamp[distance],MATCH(CampList[[#This Row],[CP_Pcode]],DistanceToCamp[CP_Pcode],0)-1,0,1,1),"")</f>
        <v/>
      </c>
      <c r="AF193" s="228" t="str">
        <f ca="1">IFERROR(INT(CampList[[#This Row],[Distance]]/5)+1,"")</f>
        <v/>
      </c>
    </row>
    <row r="194" spans="2:32" ht="15.75" hidden="1" customHeight="1" x14ac:dyDescent="0.3">
      <c r="B194" s="218" t="s">
        <v>775</v>
      </c>
      <c r="C194" s="212" t="s">
        <v>506</v>
      </c>
      <c r="D194" s="212" t="s">
        <v>489</v>
      </c>
      <c r="E194" s="212" t="s">
        <v>230</v>
      </c>
      <c r="F194" s="212" t="s">
        <v>490</v>
      </c>
      <c r="G194" s="212" t="s">
        <v>230</v>
      </c>
      <c r="H194" s="212" t="s">
        <v>491</v>
      </c>
      <c r="I194" s="212" t="s">
        <v>716</v>
      </c>
      <c r="J194" s="212" t="s">
        <v>715</v>
      </c>
      <c r="K194" s="212" t="s">
        <v>716</v>
      </c>
      <c r="L194" s="232">
        <v>208156</v>
      </c>
      <c r="M194" s="212" t="s">
        <v>231</v>
      </c>
      <c r="N194" s="212" t="s">
        <v>386</v>
      </c>
      <c r="O194" s="219">
        <v>98.115809999999996</v>
      </c>
      <c r="P194" s="219">
        <v>24.08738</v>
      </c>
      <c r="Q194" s="233"/>
      <c r="R194" s="329">
        <v>32</v>
      </c>
      <c r="S194" s="330">
        <v>187</v>
      </c>
      <c r="T194" s="222">
        <f>IF(CampList[[#This Row],[HH]]&gt;0,CampList[[#This Row],[Total]]/CampList[[#This Row],[HH]],"NA")</f>
        <v>5.84375</v>
      </c>
      <c r="U194" s="214" t="s">
        <v>464</v>
      </c>
      <c r="V194" s="214" t="s">
        <v>995</v>
      </c>
      <c r="W194" s="214" t="s">
        <v>12</v>
      </c>
      <c r="X194" s="214" t="s">
        <v>784</v>
      </c>
      <c r="Y194" s="234"/>
      <c r="Z194" s="224"/>
      <c r="AA194" s="239" t="s">
        <v>522</v>
      </c>
      <c r="AB194" s="225">
        <v>42888</v>
      </c>
      <c r="AC194" s="218" t="s">
        <v>1880</v>
      </c>
      <c r="AD194" s="214" t="str">
        <f ca="1">IFERROR(OFFSET(DistanceToCamp[Nearest Town],MATCH(CampList[[#This Row],[CP_Pcode]],DistanceToCamp[CP_Pcode],0)-1,0,1,1),"")</f>
        <v>Pang Hseng (Kyu Koke) Town</v>
      </c>
      <c r="AE194" s="227">
        <f ca="1">IFERROR(OFFSET(DistanceToCamp[distance],MATCH(CampList[[#This Row],[CP_Pcode]],DistanceToCamp[CP_Pcode],0)-1,0,1,1),"")</f>
        <v>5.5919136174199959</v>
      </c>
      <c r="AF194" s="228">
        <f ca="1">IFERROR(INT(CampList[[#This Row],[Distance]]/5)+1,"")</f>
        <v>2</v>
      </c>
    </row>
    <row r="195" spans="2:32" ht="15.75" hidden="1" customHeight="1" x14ac:dyDescent="0.3">
      <c r="B195" s="218" t="s">
        <v>775</v>
      </c>
      <c r="C195" s="212" t="s">
        <v>378</v>
      </c>
      <c r="D195" s="212" t="s">
        <v>478</v>
      </c>
      <c r="E195" s="212" t="s">
        <v>5</v>
      </c>
      <c r="F195" s="212" t="s">
        <v>482</v>
      </c>
      <c r="G195" s="212" t="s">
        <v>151</v>
      </c>
      <c r="H195" s="212" t="s">
        <v>492</v>
      </c>
      <c r="I195" s="226"/>
      <c r="J195" s="226"/>
      <c r="K195" s="226"/>
      <c r="L195" s="226"/>
      <c r="M195" s="212" t="s">
        <v>808</v>
      </c>
      <c r="N195" s="212" t="s">
        <v>806</v>
      </c>
      <c r="O195" s="219"/>
      <c r="P195" s="219"/>
      <c r="Q195" s="233"/>
      <c r="R195" s="302">
        <v>0</v>
      </c>
      <c r="S195" s="303">
        <v>0</v>
      </c>
      <c r="T195" s="222" t="str">
        <f>IF(CampList[[#This Row],[HH]]&gt;0,CampList[[#This Row],[Total]]/CampList[[#This Row],[HH]],"NA")</f>
        <v>NA</v>
      </c>
      <c r="U195" s="214" t="s">
        <v>464</v>
      </c>
      <c r="V195" s="214" t="s">
        <v>995</v>
      </c>
      <c r="W195" s="214" t="s">
        <v>507</v>
      </c>
      <c r="X195" s="214"/>
      <c r="Y195" s="234"/>
      <c r="Z195" s="224"/>
      <c r="AA195" s="239" t="s">
        <v>774</v>
      </c>
      <c r="AB195" s="225">
        <v>41701</v>
      </c>
      <c r="AC195" s="218" t="s">
        <v>867</v>
      </c>
      <c r="AD195" s="214" t="str">
        <f ca="1">IFERROR(OFFSET(DistanceToCamp[Nearest Town],MATCH(CampList[[#This Row],[CP_Pcode]],DistanceToCamp[CP_Pcode],0)-1,0,1,1),"")</f>
        <v/>
      </c>
      <c r="AE195" s="227" t="str">
        <f ca="1">IFERROR(OFFSET(DistanceToCamp[distance],MATCH(CampList[[#This Row],[CP_Pcode]],DistanceToCamp[CP_Pcode],0)-1,0,1,1),"")</f>
        <v/>
      </c>
      <c r="AF195" s="228" t="str">
        <f ca="1">IFERROR(INT(CampList[[#This Row],[Distance]]/5)+1,"")</f>
        <v/>
      </c>
    </row>
    <row r="196" spans="2:32" ht="15.75" hidden="1" customHeight="1" x14ac:dyDescent="0.3">
      <c r="B196" s="218" t="s">
        <v>775</v>
      </c>
      <c r="C196" s="212" t="s">
        <v>378</v>
      </c>
      <c r="D196" s="212" t="s">
        <v>478</v>
      </c>
      <c r="E196" s="212" t="s">
        <v>5</v>
      </c>
      <c r="F196" s="212" t="s">
        <v>482</v>
      </c>
      <c r="G196" s="212" t="s">
        <v>151</v>
      </c>
      <c r="H196" s="212" t="s">
        <v>492</v>
      </c>
      <c r="I196" s="226"/>
      <c r="J196" s="226"/>
      <c r="K196" s="226"/>
      <c r="L196" s="226"/>
      <c r="M196" s="212" t="s">
        <v>803</v>
      </c>
      <c r="N196" s="212" t="s">
        <v>807</v>
      </c>
      <c r="O196" s="219"/>
      <c r="P196" s="219"/>
      <c r="Q196" s="233"/>
      <c r="R196" s="302">
        <v>0</v>
      </c>
      <c r="S196" s="303">
        <v>0</v>
      </c>
      <c r="T196" s="222" t="str">
        <f>IF(CampList[[#This Row],[HH]]&gt;0,CampList[[#This Row],[Total]]/CampList[[#This Row],[HH]],"NA")</f>
        <v>NA</v>
      </c>
      <c r="U196" s="214" t="s">
        <v>464</v>
      </c>
      <c r="V196" s="214" t="s">
        <v>995</v>
      </c>
      <c r="W196" s="214" t="s">
        <v>12</v>
      </c>
      <c r="X196" s="214" t="s">
        <v>784</v>
      </c>
      <c r="Y196" s="234"/>
      <c r="Z196" s="224"/>
      <c r="AA196" s="239" t="s">
        <v>774</v>
      </c>
      <c r="AB196" s="225">
        <v>42090</v>
      </c>
      <c r="AC196" s="218" t="s">
        <v>1027</v>
      </c>
      <c r="AD196" s="214" t="str">
        <f ca="1">IFERROR(OFFSET(DistanceToCamp[Nearest Town],MATCH(CampList[[#This Row],[CP_Pcode]],DistanceToCamp[CP_Pcode],0)-1,0,1,1),"")</f>
        <v/>
      </c>
      <c r="AE196" s="227" t="str">
        <f ca="1">IFERROR(OFFSET(DistanceToCamp[distance],MATCH(CampList[[#This Row],[CP_Pcode]],DistanceToCamp[CP_Pcode],0)-1,0,1,1),"")</f>
        <v/>
      </c>
      <c r="AF196" s="228" t="str">
        <f ca="1">IFERROR(INT(CampList[[#This Row],[Distance]]/5)+1,"")</f>
        <v/>
      </c>
    </row>
    <row r="197" spans="2:32" ht="15.75" hidden="1" customHeight="1" x14ac:dyDescent="0.3">
      <c r="B197" s="218" t="s">
        <v>775</v>
      </c>
      <c r="C197" s="212" t="s">
        <v>378</v>
      </c>
      <c r="D197" s="212" t="s">
        <v>478</v>
      </c>
      <c r="E197" s="212" t="s">
        <v>5</v>
      </c>
      <c r="F197" s="212" t="s">
        <v>482</v>
      </c>
      <c r="G197" s="212" t="s">
        <v>151</v>
      </c>
      <c r="H197" s="212" t="s">
        <v>492</v>
      </c>
      <c r="I197" s="226"/>
      <c r="J197" s="226"/>
      <c r="K197" s="226"/>
      <c r="L197" s="226"/>
      <c r="M197" s="212" t="s">
        <v>810</v>
      </c>
      <c r="N197" s="212" t="s">
        <v>809</v>
      </c>
      <c r="O197" s="219"/>
      <c r="P197" s="249"/>
      <c r="Q197" s="233"/>
      <c r="R197" s="302">
        <v>0</v>
      </c>
      <c r="S197" s="303">
        <v>0</v>
      </c>
      <c r="T197" s="222" t="str">
        <f>IF(CampList[[#This Row],[HH]]&gt;0,CampList[[#This Row],[Total]]/CampList[[#This Row],[HH]],"NA")</f>
        <v>NA</v>
      </c>
      <c r="U197" s="214" t="s">
        <v>464</v>
      </c>
      <c r="V197" s="214" t="s">
        <v>995</v>
      </c>
      <c r="W197" s="214" t="s">
        <v>784</v>
      </c>
      <c r="X197" s="214"/>
      <c r="Y197" s="234"/>
      <c r="Z197" s="224"/>
      <c r="AA197" s="239" t="s">
        <v>774</v>
      </c>
      <c r="AB197" s="225">
        <v>41677</v>
      </c>
      <c r="AC197" s="218" t="s">
        <v>848</v>
      </c>
      <c r="AD197" s="214" t="str">
        <f ca="1">IFERROR(OFFSET(DistanceToCamp[Nearest Town],MATCH(CampList[[#This Row],[CP_Pcode]],DistanceToCamp[CP_Pcode],0)-1,0,1,1),"")</f>
        <v/>
      </c>
      <c r="AE197" s="227" t="str">
        <f ca="1">IFERROR(OFFSET(DistanceToCamp[distance],MATCH(CampList[[#This Row],[CP_Pcode]],DistanceToCamp[CP_Pcode],0)-1,0,1,1),"")</f>
        <v/>
      </c>
      <c r="AF197" s="228" t="str">
        <f ca="1">IFERROR(INT(CampList[[#This Row],[Distance]]/5)+1,"")</f>
        <v/>
      </c>
    </row>
    <row r="198" spans="2:32" ht="15.75" customHeight="1" x14ac:dyDescent="0.3">
      <c r="B198" s="218" t="s">
        <v>460</v>
      </c>
      <c r="C198" s="212" t="s">
        <v>378</v>
      </c>
      <c r="D198" s="212" t="s">
        <v>478</v>
      </c>
      <c r="E198" s="212" t="s">
        <v>5</v>
      </c>
      <c r="F198" s="212" t="s">
        <v>482</v>
      </c>
      <c r="G198" s="212" t="s">
        <v>151</v>
      </c>
      <c r="H198" s="212" t="s">
        <v>492</v>
      </c>
      <c r="I198" s="212" t="s">
        <v>811</v>
      </c>
      <c r="J198" s="212" t="s">
        <v>1108</v>
      </c>
      <c r="K198" s="212" t="s">
        <v>811</v>
      </c>
      <c r="L198" s="212">
        <v>167301</v>
      </c>
      <c r="M198" s="212" t="s">
        <v>811</v>
      </c>
      <c r="N198" s="212" t="s">
        <v>812</v>
      </c>
      <c r="O198" s="219">
        <v>97.225881000000001</v>
      </c>
      <c r="P198" s="219">
        <v>23.972453000000002</v>
      </c>
      <c r="Q198" s="233">
        <v>466</v>
      </c>
      <c r="R198" s="292">
        <v>432</v>
      </c>
      <c r="S198" s="292">
        <v>2149</v>
      </c>
      <c r="T198" s="222">
        <f>IF(CampList[[#This Row],[HH]]&gt;0,CampList[[#This Row],[Total]]/CampList[[#This Row],[HH]],"NA")</f>
        <v>4.9745370370370372</v>
      </c>
      <c r="U198" s="214" t="s">
        <v>464</v>
      </c>
      <c r="V198" s="214" t="s">
        <v>995</v>
      </c>
      <c r="W198" s="214" t="s">
        <v>507</v>
      </c>
      <c r="X198" s="214" t="s">
        <v>784</v>
      </c>
      <c r="Y198" s="331">
        <v>41548</v>
      </c>
      <c r="Z198" s="223" t="s">
        <v>424</v>
      </c>
      <c r="AA198" s="239" t="s">
        <v>774</v>
      </c>
      <c r="AB198" s="225">
        <v>43235</v>
      </c>
      <c r="AC198" s="218" t="s">
        <v>1772</v>
      </c>
      <c r="AD198" s="214" t="str">
        <f ca="1">IFERROR(OFFSET(DistanceToCamp[Nearest Town],MATCH(CampList[[#This Row],[CP_Pcode]],DistanceToCamp[CP_Pcode],0)-1,0,1,1),"")</f>
        <v>Mansi Town</v>
      </c>
      <c r="AE198" s="227">
        <f ca="1">IFERROR(OFFSET(DistanceToCamp[distance],MATCH(CampList[[#This Row],[CP_Pcode]],DistanceToCamp[CP_Pcode],0)-1,0,1,1),"")</f>
        <v>17.731070777343263</v>
      </c>
      <c r="AF198" s="228">
        <f ca="1">IFERROR(INT(CampList[[#This Row],[Distance]]/5)+1,"")</f>
        <v>4</v>
      </c>
    </row>
    <row r="199" spans="2:32" ht="15.75" hidden="1" customHeight="1" x14ac:dyDescent="0.3">
      <c r="B199" s="218" t="s">
        <v>775</v>
      </c>
      <c r="C199" s="212" t="s">
        <v>378</v>
      </c>
      <c r="D199" s="212" t="s">
        <v>478</v>
      </c>
      <c r="E199" s="212" t="s">
        <v>5</v>
      </c>
      <c r="F199" s="212" t="s">
        <v>482</v>
      </c>
      <c r="G199" s="212" t="s">
        <v>151</v>
      </c>
      <c r="H199" s="212" t="s">
        <v>492</v>
      </c>
      <c r="I199" s="212"/>
      <c r="J199" s="212"/>
      <c r="K199" s="212"/>
      <c r="L199" s="212"/>
      <c r="M199" s="212" t="s">
        <v>813</v>
      </c>
      <c r="N199" s="212" t="s">
        <v>814</v>
      </c>
      <c r="O199" s="221"/>
      <c r="P199" s="221"/>
      <c r="Q199" s="233"/>
      <c r="R199" s="302">
        <v>0</v>
      </c>
      <c r="S199" s="303">
        <v>0</v>
      </c>
      <c r="T199" s="222" t="str">
        <f>IF(CampList[[#This Row],[HH]]&gt;0,CampList[[#This Row],[Total]]/CampList[[#This Row],[HH]],"NA")</f>
        <v>NA</v>
      </c>
      <c r="U199" s="214" t="s">
        <v>464</v>
      </c>
      <c r="V199" s="214" t="s">
        <v>995</v>
      </c>
      <c r="W199" s="214" t="s">
        <v>507</v>
      </c>
      <c r="X199" s="214" t="s">
        <v>784</v>
      </c>
      <c r="Y199" s="234"/>
      <c r="Z199" s="224"/>
      <c r="AA199" s="212" t="s">
        <v>774</v>
      </c>
      <c r="AB199" s="225">
        <v>41652</v>
      </c>
      <c r="AC199" s="218" t="s">
        <v>835</v>
      </c>
      <c r="AD199" s="214" t="str">
        <f ca="1">IFERROR(OFFSET(DistanceToCamp[Nearest Town],MATCH(CampList[[#This Row],[CP_Pcode]],DistanceToCamp[CP_Pcode],0)-1,0,1,1),"")</f>
        <v/>
      </c>
      <c r="AE199" s="227" t="str">
        <f ca="1">IFERROR(OFFSET(DistanceToCamp[distance],MATCH(CampList[[#This Row],[CP_Pcode]],DistanceToCamp[CP_Pcode],0)-1,0,1,1),"")</f>
        <v/>
      </c>
      <c r="AF199" s="228" t="str">
        <f ca="1">IFERROR(INT(CampList[[#This Row],[Distance]]/5)+1,"")</f>
        <v/>
      </c>
    </row>
    <row r="200" spans="2:32" ht="15.75" hidden="1" customHeight="1" x14ac:dyDescent="0.3">
      <c r="B200" s="218" t="s">
        <v>775</v>
      </c>
      <c r="C200" s="212" t="s">
        <v>378</v>
      </c>
      <c r="D200" s="212" t="s">
        <v>478</v>
      </c>
      <c r="E200" s="212" t="s">
        <v>299</v>
      </c>
      <c r="F200" s="212" t="s">
        <v>499</v>
      </c>
      <c r="G200" s="212" t="s">
        <v>299</v>
      </c>
      <c r="H200" s="212" t="s">
        <v>505</v>
      </c>
      <c r="I200" s="212" t="s">
        <v>883</v>
      </c>
      <c r="J200" s="212" t="s">
        <v>884</v>
      </c>
      <c r="K200" s="212" t="s">
        <v>885</v>
      </c>
      <c r="L200" s="212">
        <v>167567</v>
      </c>
      <c r="M200" s="212" t="s">
        <v>815</v>
      </c>
      <c r="N200" s="212" t="s">
        <v>816</v>
      </c>
      <c r="O200" s="219">
        <v>97.58184</v>
      </c>
      <c r="P200" s="219">
        <v>27.270199999999999</v>
      </c>
      <c r="Q200" s="220">
        <v>372.9</v>
      </c>
      <c r="R200" s="236">
        <v>0</v>
      </c>
      <c r="S200" s="241">
        <v>0</v>
      </c>
      <c r="T200" s="222" t="str">
        <f>IF(CampList[[#This Row],[HH]]&gt;0,CampList[[#This Row],[Total]]/CampList[[#This Row],[HH]],"NA")</f>
        <v>NA</v>
      </c>
      <c r="U200" s="214" t="s">
        <v>464</v>
      </c>
      <c r="V200" s="214" t="s">
        <v>995</v>
      </c>
      <c r="W200" s="214" t="s">
        <v>507</v>
      </c>
      <c r="X200" s="214" t="s">
        <v>784</v>
      </c>
      <c r="Y200" s="223">
        <v>41487</v>
      </c>
      <c r="Z200" s="223"/>
      <c r="AA200" s="212" t="s">
        <v>774</v>
      </c>
      <c r="AB200" s="225">
        <v>41725</v>
      </c>
      <c r="AC200" s="226" t="s">
        <v>1051</v>
      </c>
      <c r="AD200" s="214" t="str">
        <f ca="1">IFERROR(OFFSET(DistanceToCamp[Nearest Town],MATCH(CampList[[#This Row],[CP_Pcode]],DistanceToCamp[CP_Pcode],0)-1,0,1,1),"")</f>
        <v>Machanbaw Town</v>
      </c>
      <c r="AE200" s="227">
        <f ca="1">IFERROR(OFFSET(DistanceToCamp[distance],MATCH(CampList[[#This Row],[CP_Pcode]],DistanceToCamp[CP_Pcode],0)-1,0,1,1),"")</f>
        <v>1.7005689699647599</v>
      </c>
      <c r="AF200" s="228">
        <f ca="1">IFERROR(INT(CampList[[#This Row],[Distance]]/5)+1,"")</f>
        <v>1</v>
      </c>
    </row>
    <row r="201" spans="2:32" ht="15.75" hidden="1" customHeight="1" x14ac:dyDescent="0.3">
      <c r="B201" s="218" t="s">
        <v>775</v>
      </c>
      <c r="C201" s="212" t="s">
        <v>378</v>
      </c>
      <c r="D201" s="212" t="s">
        <v>478</v>
      </c>
      <c r="E201" s="212" t="s">
        <v>299</v>
      </c>
      <c r="F201" s="212" t="s">
        <v>499</v>
      </c>
      <c r="G201" s="212" t="s">
        <v>817</v>
      </c>
      <c r="H201" s="212" t="s">
        <v>818</v>
      </c>
      <c r="I201" s="212"/>
      <c r="J201" s="212"/>
      <c r="K201" s="212"/>
      <c r="L201" s="212"/>
      <c r="M201" s="212" t="s">
        <v>819</v>
      </c>
      <c r="N201" s="212" t="s">
        <v>820</v>
      </c>
      <c r="O201" s="219">
        <v>97.586470000000006</v>
      </c>
      <c r="P201" s="219">
        <v>27.274059999999999</v>
      </c>
      <c r="Q201" s="233">
        <v>403</v>
      </c>
      <c r="R201" s="197"/>
      <c r="S201" s="241"/>
      <c r="T201" s="222" t="str">
        <f>IF(CampList[[#This Row],[HH]]&gt;0,CampList[[#This Row],[Total]]/CampList[[#This Row],[HH]],"NA")</f>
        <v>NA</v>
      </c>
      <c r="U201" s="214" t="s">
        <v>464</v>
      </c>
      <c r="V201" s="214" t="s">
        <v>995</v>
      </c>
      <c r="W201" s="214" t="s">
        <v>507</v>
      </c>
      <c r="X201" s="214" t="s">
        <v>784</v>
      </c>
      <c r="Y201" s="234">
        <v>41518</v>
      </c>
      <c r="Z201" s="250"/>
      <c r="AA201" s="212" t="s">
        <v>774</v>
      </c>
      <c r="AB201" s="225">
        <v>42180</v>
      </c>
      <c r="AC201" s="218" t="s">
        <v>1050</v>
      </c>
      <c r="AD201" s="214" t="str">
        <f ca="1">IFERROR(OFFSET(DistanceToCamp[Nearest Town],MATCH(CampList[[#This Row],[CP_Pcode]],DistanceToCamp[CP_Pcode],0)-1,0,1,1),"")</f>
        <v>Machanbaw Town</v>
      </c>
      <c r="AE201" s="227">
        <f ca="1">IFERROR(OFFSET(DistanceToCamp[distance],MATCH(CampList[[#This Row],[CP_Pcode]],DistanceToCamp[CP_Pcode],0)-1,0,1,1),"")</f>
        <v>1.136583238544624</v>
      </c>
      <c r="AF201" s="228">
        <f ca="1">IFERROR(INT(CampList[[#This Row],[Distance]]/5)+1,"")</f>
        <v>1</v>
      </c>
    </row>
    <row r="202" spans="2:32" ht="15.75" hidden="1" customHeight="1" x14ac:dyDescent="0.3">
      <c r="B202" s="218" t="s">
        <v>775</v>
      </c>
      <c r="C202" s="212" t="s">
        <v>378</v>
      </c>
      <c r="D202" s="212" t="s">
        <v>478</v>
      </c>
      <c r="E202" s="212" t="s">
        <v>5</v>
      </c>
      <c r="F202" s="212" t="s">
        <v>482</v>
      </c>
      <c r="G202" s="212" t="s">
        <v>5</v>
      </c>
      <c r="H202" s="212" t="s">
        <v>483</v>
      </c>
      <c r="I202" s="212"/>
      <c r="J202" s="212"/>
      <c r="K202" s="212"/>
      <c r="L202" s="212"/>
      <c r="M202" s="212" t="s">
        <v>822</v>
      </c>
      <c r="N202" s="212" t="s">
        <v>821</v>
      </c>
      <c r="O202" s="219"/>
      <c r="P202" s="219"/>
      <c r="Q202" s="233"/>
      <c r="R202" s="302"/>
      <c r="S202" s="303"/>
      <c r="T202" s="222" t="str">
        <f>IF(CampList[[#This Row],[HH]]&gt;0,CampList[[#This Row],[Total]]/CampList[[#This Row],[HH]],"NA")</f>
        <v>NA</v>
      </c>
      <c r="U202" s="214" t="s">
        <v>464</v>
      </c>
      <c r="V202" s="214" t="s">
        <v>995</v>
      </c>
      <c r="W202" s="214" t="s">
        <v>507</v>
      </c>
      <c r="X202" s="214" t="s">
        <v>742</v>
      </c>
      <c r="Y202" s="234"/>
      <c r="Z202" s="224"/>
      <c r="AA202" s="239" t="s">
        <v>774</v>
      </c>
      <c r="AB202" s="225">
        <v>41702</v>
      </c>
      <c r="AC202" s="226" t="s">
        <v>872</v>
      </c>
      <c r="AD202" s="214" t="str">
        <f ca="1">IFERROR(OFFSET(DistanceToCamp[Nearest Town],MATCH(CampList[[#This Row],[CP_Pcode]],DistanceToCamp[CP_Pcode],0)-1,0,1,1),"")</f>
        <v/>
      </c>
      <c r="AE202" s="227" t="str">
        <f ca="1">IFERROR(OFFSET(DistanceToCamp[distance],MATCH(CampList[[#This Row],[CP_Pcode]],DistanceToCamp[CP_Pcode],0)-1,0,1,1),"")</f>
        <v/>
      </c>
      <c r="AF202" s="228" t="str">
        <f ca="1">IFERROR(INT(CampList[[#This Row],[Distance]]/5)+1,"")</f>
        <v/>
      </c>
    </row>
    <row r="203" spans="2:32" ht="15.75" customHeight="1" x14ac:dyDescent="0.3">
      <c r="B203" s="218" t="s">
        <v>460</v>
      </c>
      <c r="C203" s="212" t="s">
        <v>378</v>
      </c>
      <c r="D203" s="212" t="s">
        <v>478</v>
      </c>
      <c r="E203" s="212" t="s">
        <v>5</v>
      </c>
      <c r="F203" s="212" t="s">
        <v>482</v>
      </c>
      <c r="G203" s="212" t="s">
        <v>151</v>
      </c>
      <c r="H203" s="212" t="s">
        <v>492</v>
      </c>
      <c r="I203" s="212" t="s">
        <v>811</v>
      </c>
      <c r="J203" s="212" t="s">
        <v>1108</v>
      </c>
      <c r="K203" s="212" t="s">
        <v>811</v>
      </c>
      <c r="L203" s="212">
        <v>167301</v>
      </c>
      <c r="M203" s="212" t="s">
        <v>847</v>
      </c>
      <c r="N203" s="212" t="s">
        <v>846</v>
      </c>
      <c r="O203" s="219">
        <v>97.227057000000002</v>
      </c>
      <c r="P203" s="219">
        <v>23.976571</v>
      </c>
      <c r="Q203" s="233">
        <v>478</v>
      </c>
      <c r="R203" s="221">
        <v>169</v>
      </c>
      <c r="S203" s="221">
        <v>775</v>
      </c>
      <c r="T203" s="222">
        <f>IF(CampList[[#This Row],[HH]]&gt;0,CampList[[#This Row],[Total]]/CampList[[#This Row],[HH]],"NA")</f>
        <v>4.5857988165680474</v>
      </c>
      <c r="U203" s="214" t="s">
        <v>464</v>
      </c>
      <c r="V203" s="214" t="s">
        <v>995</v>
      </c>
      <c r="W203" s="214" t="s">
        <v>507</v>
      </c>
      <c r="X203" s="214" t="s">
        <v>784</v>
      </c>
      <c r="Y203" s="331">
        <v>41548</v>
      </c>
      <c r="Z203" s="223" t="s">
        <v>935</v>
      </c>
      <c r="AA203" s="212" t="s">
        <v>774</v>
      </c>
      <c r="AB203" s="225">
        <v>43230</v>
      </c>
      <c r="AC203" s="226" t="s">
        <v>1682</v>
      </c>
      <c r="AD203" s="214" t="str">
        <f ca="1">IFERROR(OFFSET(DistanceToCamp[Nearest Town],MATCH(CampList[[#This Row],[CP_Pcode]],DistanceToCamp[CP_Pcode],0)-1,0,1,1),"")</f>
        <v>Kamaing Town</v>
      </c>
      <c r="AE203" s="227">
        <f ca="1">IFERROR(OFFSET(DistanceToCamp[distance],MATCH(CampList[[#This Row],[CP_Pcode]],DistanceToCamp[CP_Pcode],0)-1,0,1,1),"")</f>
        <v>12.257552920582597</v>
      </c>
      <c r="AF203" s="228">
        <f ca="1">IFERROR(INT(CampList[[#This Row],[Distance]]/5)+1,"")</f>
        <v>3</v>
      </c>
    </row>
    <row r="204" spans="2:32" ht="15.75" hidden="1" customHeight="1" x14ac:dyDescent="0.3">
      <c r="B204" s="218" t="s">
        <v>775</v>
      </c>
      <c r="C204" s="212" t="s">
        <v>378</v>
      </c>
      <c r="D204" s="212" t="s">
        <v>478</v>
      </c>
      <c r="E204" s="212" t="s">
        <v>5</v>
      </c>
      <c r="F204" s="212" t="s">
        <v>482</v>
      </c>
      <c r="G204" s="212" t="s">
        <v>5</v>
      </c>
      <c r="H204" s="212" t="s">
        <v>483</v>
      </c>
      <c r="I204" s="212" t="s">
        <v>585</v>
      </c>
      <c r="J204" s="212" t="s">
        <v>586</v>
      </c>
      <c r="K204" s="212"/>
      <c r="L204" s="212"/>
      <c r="M204" s="212" t="s">
        <v>877</v>
      </c>
      <c r="N204" s="212" t="s">
        <v>874</v>
      </c>
      <c r="O204" s="219">
        <v>97.239130000000003</v>
      </c>
      <c r="P204" s="221">
        <v>24.229189999999999</v>
      </c>
      <c r="Q204" s="233">
        <v>126</v>
      </c>
      <c r="R204" s="197"/>
      <c r="S204" s="241"/>
      <c r="T204" s="222" t="str">
        <f>IF(CampList[[#This Row],[HH]]&gt;0,CampList[[#This Row],[Total]]/CampList[[#This Row],[HH]],"NA")</f>
        <v>NA</v>
      </c>
      <c r="U204" s="214" t="s">
        <v>464</v>
      </c>
      <c r="V204" s="214" t="s">
        <v>995</v>
      </c>
      <c r="W204" s="214" t="s">
        <v>507</v>
      </c>
      <c r="X204" s="214" t="s">
        <v>742</v>
      </c>
      <c r="Y204" s="234"/>
      <c r="Z204" s="224" t="s">
        <v>462</v>
      </c>
      <c r="AA204" s="212" t="s">
        <v>774</v>
      </c>
      <c r="AB204" s="225">
        <v>41906</v>
      </c>
      <c r="AC204" s="226" t="s">
        <v>952</v>
      </c>
      <c r="AD204" s="214" t="str">
        <f ca="1">IFERROR(OFFSET(DistanceToCamp[Nearest Town],MATCH(CampList[[#This Row],[CP_Pcode]],DistanceToCamp[CP_Pcode],0)-1,0,1,1),"")</f>
        <v/>
      </c>
      <c r="AE204" s="227" t="str">
        <f ca="1">IFERROR(OFFSET(DistanceToCamp[distance],MATCH(CampList[[#This Row],[CP_Pcode]],DistanceToCamp[CP_Pcode],0)-1,0,1,1),"")</f>
        <v/>
      </c>
      <c r="AF204" s="228" t="str">
        <f ca="1">IFERROR(INT(CampList[[#This Row],[Distance]]/5)+1,"")</f>
        <v/>
      </c>
    </row>
    <row r="205" spans="2:32" ht="15.75" customHeight="1" x14ac:dyDescent="0.3">
      <c r="B205" s="231" t="s">
        <v>460</v>
      </c>
      <c r="C205" s="213" t="s">
        <v>378</v>
      </c>
      <c r="D205" s="213" t="s">
        <v>478</v>
      </c>
      <c r="E205" s="213" t="s">
        <v>237</v>
      </c>
      <c r="F205" s="213" t="s">
        <v>484</v>
      </c>
      <c r="G205" s="213" t="s">
        <v>27</v>
      </c>
      <c r="H205" s="213" t="s">
        <v>487</v>
      </c>
      <c r="I205" s="213" t="s">
        <v>730</v>
      </c>
      <c r="J205" s="232" t="s">
        <v>729</v>
      </c>
      <c r="K205" s="213" t="s">
        <v>875</v>
      </c>
      <c r="L205" s="213"/>
      <c r="M205" s="213" t="s">
        <v>875</v>
      </c>
      <c r="N205" s="213" t="s">
        <v>876</v>
      </c>
      <c r="O205" s="221">
        <v>98.356260000000006</v>
      </c>
      <c r="P205" s="221">
        <v>25.645959999999999</v>
      </c>
      <c r="Q205" s="233">
        <v>1945</v>
      </c>
      <c r="R205" s="292">
        <v>30</v>
      </c>
      <c r="S205" s="292">
        <v>172</v>
      </c>
      <c r="T205" s="222">
        <f>IF(CampList[[#This Row],[HH]]&gt;0,CampList[[#This Row],[Total]]/CampList[[#This Row],[HH]],"NA")</f>
        <v>5.7333333333333334</v>
      </c>
      <c r="U205" s="197" t="s">
        <v>464</v>
      </c>
      <c r="V205" s="214" t="s">
        <v>995</v>
      </c>
      <c r="W205" s="197" t="s">
        <v>507</v>
      </c>
      <c r="X205" s="197" t="s">
        <v>742</v>
      </c>
      <c r="Y205" s="332">
        <v>41091</v>
      </c>
      <c r="Z205" s="233" t="s">
        <v>936</v>
      </c>
      <c r="AA205" s="213" t="s">
        <v>774</v>
      </c>
      <c r="AB205" s="225">
        <v>43230</v>
      </c>
      <c r="AC205" s="235" t="s">
        <v>1704</v>
      </c>
      <c r="AD205" s="236" t="str">
        <f ca="1">IFERROR(OFFSET(DistanceToCamp[Nearest Town],MATCH(CampList[[#This Row],[CP_Pcode]],DistanceToCamp[CP_Pcode],0)-1,0,1,1),"")</f>
        <v>Naypyitaw Town</v>
      </c>
      <c r="AE205" s="227">
        <f ca="1">IFERROR(OFFSET(DistanceToCamp[distance],MATCH(CampList[[#This Row],[CP_Pcode]],DistanceToCamp[CP_Pcode],0)-1,0,1,1),"")</f>
        <v>0</v>
      </c>
      <c r="AF205" s="237">
        <f ca="1">IFERROR(INT(CampList[[#This Row],[Distance]]/5)+1,"")</f>
        <v>1</v>
      </c>
    </row>
    <row r="206" spans="2:32" ht="15.75" hidden="1" customHeight="1" x14ac:dyDescent="0.3">
      <c r="B206" s="218" t="s">
        <v>775</v>
      </c>
      <c r="C206" s="212" t="s">
        <v>378</v>
      </c>
      <c r="D206" s="212" t="s">
        <v>478</v>
      </c>
      <c r="E206" s="212" t="s">
        <v>5</v>
      </c>
      <c r="F206" s="212" t="s">
        <v>482</v>
      </c>
      <c r="G206" s="212" t="s">
        <v>151</v>
      </c>
      <c r="H206" s="212" t="s">
        <v>492</v>
      </c>
      <c r="I206" s="212" t="s">
        <v>679</v>
      </c>
      <c r="J206" s="212" t="s">
        <v>680</v>
      </c>
      <c r="K206" s="212" t="s">
        <v>679</v>
      </c>
      <c r="L206" s="232">
        <v>167343</v>
      </c>
      <c r="M206" s="212" t="s">
        <v>888</v>
      </c>
      <c r="N206" s="212" t="s">
        <v>889</v>
      </c>
      <c r="O206" s="219">
        <v>97.608249999999998</v>
      </c>
      <c r="P206" s="219">
        <v>24.000250000000001</v>
      </c>
      <c r="Q206" s="233"/>
      <c r="R206" s="197"/>
      <c r="S206" s="241"/>
      <c r="T206" s="222" t="str">
        <f>IF(CampList[[#This Row],[HH]]&gt;0,CampList[[#This Row],[Total]]/CampList[[#This Row],[HH]],"NA")</f>
        <v>NA</v>
      </c>
      <c r="U206" s="214" t="s">
        <v>466</v>
      </c>
      <c r="V206" s="214" t="s">
        <v>995</v>
      </c>
      <c r="W206" s="214" t="s">
        <v>507</v>
      </c>
      <c r="X206" s="214" t="s">
        <v>784</v>
      </c>
      <c r="Y206" s="234">
        <v>40817</v>
      </c>
      <c r="Z206" s="223" t="s">
        <v>935</v>
      </c>
      <c r="AA206" s="212" t="s">
        <v>774</v>
      </c>
      <c r="AB206" s="225">
        <v>42629</v>
      </c>
      <c r="AC206" s="218" t="s">
        <v>1166</v>
      </c>
      <c r="AD206" s="214" t="str">
        <f ca="1">IFERROR(OFFSET(DistanceToCamp[Nearest Town],MATCH(CampList[[#This Row],[CP_Pcode]],DistanceToCamp[CP_Pcode],0)-1,0,1,1),"")</f>
        <v>Namhkan Town</v>
      </c>
      <c r="AE206" s="227">
        <f ca="1">IFERROR(OFFSET(DistanceToCamp[distance],MATCH(CampList[[#This Row],[CP_Pcode]],DistanceToCamp[CP_Pcode],0)-1,0,1,1),"")</f>
        <v>19.631786732140053</v>
      </c>
      <c r="AF206" s="228">
        <f ca="1">IFERROR(INT(CampList[[#This Row],[Distance]]/5)+1,"")</f>
        <v>4</v>
      </c>
    </row>
    <row r="207" spans="2:32" ht="15.75" customHeight="1" x14ac:dyDescent="0.3">
      <c r="B207" s="218" t="s">
        <v>460</v>
      </c>
      <c r="C207" s="212" t="s">
        <v>378</v>
      </c>
      <c r="D207" s="212" t="s">
        <v>478</v>
      </c>
      <c r="E207" s="212" t="s">
        <v>299</v>
      </c>
      <c r="F207" s="212" t="s">
        <v>499</v>
      </c>
      <c r="G207" s="212" t="s">
        <v>299</v>
      </c>
      <c r="H207" s="212" t="s">
        <v>505</v>
      </c>
      <c r="I207" s="212" t="s">
        <v>883</v>
      </c>
      <c r="J207" s="212" t="s">
        <v>884</v>
      </c>
      <c r="K207" s="212" t="s">
        <v>891</v>
      </c>
      <c r="L207" s="212">
        <v>217032</v>
      </c>
      <c r="M207" s="212" t="s">
        <v>892</v>
      </c>
      <c r="N207" s="212" t="s">
        <v>893</v>
      </c>
      <c r="O207" s="221">
        <v>97.561105999999995</v>
      </c>
      <c r="P207" s="221">
        <v>27.248964999999998</v>
      </c>
      <c r="Q207" s="233">
        <v>398</v>
      </c>
      <c r="R207" s="221">
        <v>10</v>
      </c>
      <c r="S207" s="233">
        <v>56</v>
      </c>
      <c r="T207" s="222">
        <f>IF(CampList[[#This Row],[HH]]&gt;0,CampList[[#This Row],[Total]]/CampList[[#This Row],[HH]],"NA")</f>
        <v>5.6</v>
      </c>
      <c r="U207" s="214" t="s">
        <v>464</v>
      </c>
      <c r="V207" s="214" t="s">
        <v>995</v>
      </c>
      <c r="W207" s="214" t="s">
        <v>12</v>
      </c>
      <c r="X207" s="214" t="s">
        <v>784</v>
      </c>
      <c r="Y207" s="332">
        <v>41487</v>
      </c>
      <c r="Z207" s="224" t="s">
        <v>1322</v>
      </c>
      <c r="AA207" s="212" t="s">
        <v>774</v>
      </c>
      <c r="AB207" s="225">
        <v>41736</v>
      </c>
      <c r="AC207" s="226" t="s">
        <v>1394</v>
      </c>
      <c r="AD207" s="214" t="str">
        <f ca="1">IFERROR(OFFSET(DistanceToCamp[Nearest Town],MATCH(CampList[[#This Row],[CP_Pcode]],DistanceToCamp[CP_Pcode],0)-1,0,1,1),"")</f>
        <v>Machanbaw Town</v>
      </c>
      <c r="AE207" s="227">
        <f ca="1">IFERROR(OFFSET(DistanceToCamp[distance],MATCH(CampList[[#This Row],[CP_Pcode]],DistanceToCamp[CP_Pcode],0)-1,0,1,1),"")</f>
        <v>4.789460146835963</v>
      </c>
      <c r="AF207" s="228">
        <f ca="1">IFERROR(INT(CampList[[#This Row],[Distance]]/5)+1,"")</f>
        <v>1</v>
      </c>
    </row>
    <row r="208" spans="2:32" ht="15.75" customHeight="1" x14ac:dyDescent="0.3">
      <c r="B208" s="231" t="s">
        <v>460</v>
      </c>
      <c r="C208" s="213" t="s">
        <v>378</v>
      </c>
      <c r="D208" s="213" t="s">
        <v>478</v>
      </c>
      <c r="E208" s="213" t="s">
        <v>5</v>
      </c>
      <c r="F208" s="213" t="s">
        <v>482</v>
      </c>
      <c r="G208" s="213" t="s">
        <v>151</v>
      </c>
      <c r="H208" s="213" t="s">
        <v>492</v>
      </c>
      <c r="I208" s="213" t="s">
        <v>600</v>
      </c>
      <c r="J208" s="232" t="s">
        <v>601</v>
      </c>
      <c r="K208" s="226" t="s">
        <v>600</v>
      </c>
      <c r="L208" s="238">
        <v>167405</v>
      </c>
      <c r="M208" s="213" t="s">
        <v>911</v>
      </c>
      <c r="N208" s="213" t="s">
        <v>912</v>
      </c>
      <c r="O208" s="221">
        <v>97.578367</v>
      </c>
      <c r="P208" s="221">
        <v>23.833477999999999</v>
      </c>
      <c r="Q208" s="233">
        <v>925</v>
      </c>
      <c r="R208" s="221">
        <v>156</v>
      </c>
      <c r="S208" s="221">
        <v>711</v>
      </c>
      <c r="T208" s="222">
        <f>IF(CampList[[#This Row],[HH]]&gt;0,CampList[[#This Row],[Total]]/CampList[[#This Row],[HH]],"NA")</f>
        <v>4.5576923076923075</v>
      </c>
      <c r="U208" s="197" t="s">
        <v>464</v>
      </c>
      <c r="V208" s="214" t="s">
        <v>995</v>
      </c>
      <c r="W208" s="197" t="s">
        <v>507</v>
      </c>
      <c r="X208" s="197" t="s">
        <v>784</v>
      </c>
      <c r="Y208" s="332">
        <v>41791</v>
      </c>
      <c r="Z208" s="233" t="s">
        <v>935</v>
      </c>
      <c r="AA208" s="213" t="s">
        <v>774</v>
      </c>
      <c r="AB208" s="225">
        <v>43230</v>
      </c>
      <c r="AC208" s="235" t="s">
        <v>1685</v>
      </c>
      <c r="AD208" s="236" t="str">
        <f ca="1">IFERROR(OFFSET(DistanceToCamp[Nearest Town],MATCH(CampList[[#This Row],[CP_Pcode]],DistanceToCamp[CP_Pcode],0)-1,0,1,1),"")</f>
        <v>Namhkan Town</v>
      </c>
      <c r="AE208" s="227">
        <f ca="1">IFERROR(OFFSET(DistanceToCamp[distance],MATCH(CampList[[#This Row],[CP_Pcode]],DistanceToCamp[CP_Pcode],0)-1,0,1,1),"")</f>
        <v>10.527586947557506</v>
      </c>
      <c r="AF208" s="237">
        <f ca="1">IFERROR(INT(CampList[[#This Row],[Distance]]/5)+1,"")</f>
        <v>3</v>
      </c>
    </row>
    <row r="209" spans="2:35" ht="15.75" customHeight="1" x14ac:dyDescent="0.3">
      <c r="B209" s="218" t="s">
        <v>460</v>
      </c>
      <c r="C209" s="212" t="s">
        <v>378</v>
      </c>
      <c r="D209" s="212" t="s">
        <v>478</v>
      </c>
      <c r="E209" s="212" t="s">
        <v>180</v>
      </c>
      <c r="F209" s="212" t="s">
        <v>479</v>
      </c>
      <c r="G209" s="212" t="s">
        <v>480</v>
      </c>
      <c r="H209" s="212" t="s">
        <v>481</v>
      </c>
      <c r="I209" s="226" t="s">
        <v>549</v>
      </c>
      <c r="J209" s="226" t="s">
        <v>550</v>
      </c>
      <c r="K209" s="226" t="s">
        <v>549</v>
      </c>
      <c r="L209" s="226">
        <v>166776</v>
      </c>
      <c r="M209" s="212" t="s">
        <v>915</v>
      </c>
      <c r="N209" s="212" t="s">
        <v>916</v>
      </c>
      <c r="O209" s="219">
        <v>96.312790000000007</v>
      </c>
      <c r="P209" s="219">
        <v>25.611160000000002</v>
      </c>
      <c r="Q209" s="233"/>
      <c r="R209" s="292">
        <v>104</v>
      </c>
      <c r="S209" s="292">
        <v>510</v>
      </c>
      <c r="T209" s="222">
        <f>IF(CampList[[#This Row],[HH]]&gt;0,CampList[[#This Row],[Total]]/CampList[[#This Row],[HH]],"NA")</f>
        <v>4.9038461538461542</v>
      </c>
      <c r="U209" s="214" t="s">
        <v>464</v>
      </c>
      <c r="V209" s="214" t="s">
        <v>995</v>
      </c>
      <c r="W209" s="214" t="s">
        <v>507</v>
      </c>
      <c r="X209" s="214" t="s">
        <v>742</v>
      </c>
      <c r="Y209" s="332">
        <v>41122</v>
      </c>
      <c r="Z209" s="224" t="s">
        <v>424</v>
      </c>
      <c r="AA209" s="212" t="s">
        <v>774</v>
      </c>
      <c r="AB209" s="225">
        <v>43235</v>
      </c>
      <c r="AC209" s="226" t="s">
        <v>1773</v>
      </c>
      <c r="AD209" s="214" t="str">
        <f ca="1">IFERROR(OFFSET(DistanceToCamp[Nearest Town],MATCH(CampList[[#This Row],[CP_Pcode]],DistanceToCamp[CP_Pcode],0)-1,0,1,1),"")</f>
        <v>Hpakant Town</v>
      </c>
      <c r="AE209" s="227">
        <f ca="1">IFERROR(OFFSET(DistanceToCamp[distance],MATCH(CampList[[#This Row],[CP_Pcode]],DistanceToCamp[CP_Pcode],0)-1,0,1,1),"")</f>
        <v>0.19374952337076978</v>
      </c>
      <c r="AF209" s="237">
        <f ca="1">IFERROR(INT(CampList[[#This Row],[Distance]]/5)+1,"")</f>
        <v>1</v>
      </c>
    </row>
    <row r="210" spans="2:35" ht="15.75" customHeight="1" x14ac:dyDescent="0.3">
      <c r="B210" s="218" t="s">
        <v>460</v>
      </c>
      <c r="C210" s="212" t="s">
        <v>378</v>
      </c>
      <c r="D210" s="212" t="s">
        <v>478</v>
      </c>
      <c r="E210" s="212" t="s">
        <v>5</v>
      </c>
      <c r="F210" s="212" t="s">
        <v>482</v>
      </c>
      <c r="G210" s="212" t="s">
        <v>151</v>
      </c>
      <c r="H210" s="212" t="s">
        <v>492</v>
      </c>
      <c r="I210" s="212" t="s">
        <v>600</v>
      </c>
      <c r="J210" s="212" t="s">
        <v>601</v>
      </c>
      <c r="K210" s="212" t="s">
        <v>600</v>
      </c>
      <c r="L210" s="212">
        <v>167405</v>
      </c>
      <c r="M210" s="212" t="s">
        <v>938</v>
      </c>
      <c r="N210" s="212" t="s">
        <v>939</v>
      </c>
      <c r="O210" s="221">
        <v>97.590767</v>
      </c>
      <c r="P210" s="221">
        <v>23.829599000000002</v>
      </c>
      <c r="Q210" s="233"/>
      <c r="R210" s="292">
        <v>154</v>
      </c>
      <c r="S210" s="292">
        <v>670</v>
      </c>
      <c r="T210" s="222">
        <f>IF(CampList[[#This Row],[HH]]&gt;0,CampList[[#This Row],[Total]]/CampList[[#This Row],[HH]],"NA")</f>
        <v>4.3506493506493502</v>
      </c>
      <c r="U210" s="214" t="s">
        <v>464</v>
      </c>
      <c r="V210" s="214" t="s">
        <v>995</v>
      </c>
      <c r="W210" s="214" t="s">
        <v>507</v>
      </c>
      <c r="X210" s="214" t="s">
        <v>784</v>
      </c>
      <c r="Y210" s="332">
        <v>41730</v>
      </c>
      <c r="Z210" s="224" t="s">
        <v>424</v>
      </c>
      <c r="AA210" s="212" t="s">
        <v>774</v>
      </c>
      <c r="AB210" s="225">
        <v>43235</v>
      </c>
      <c r="AC210" s="226" t="s">
        <v>1774</v>
      </c>
      <c r="AD210" s="214" t="str">
        <f ca="1">IFERROR(OFFSET(DistanceToCamp[Nearest Town],MATCH(CampList[[#This Row],[CP_Pcode]],DistanceToCamp[CP_Pcode],0)-1,0,1,1),"")</f>
        <v>Namhkan Town</v>
      </c>
      <c r="AE210" s="227">
        <f ca="1">IFERROR(OFFSET(DistanceToCamp[distance],MATCH(CampList[[#This Row],[CP_Pcode]],DistanceToCamp[CP_Pcode],0)-1,0,1,1),"")</f>
        <v>9.2957189123335944</v>
      </c>
      <c r="AF210" s="237">
        <f ca="1">IFERROR(INT(CampList[[#This Row],[Distance]]/5)+1,"")</f>
        <v>2</v>
      </c>
    </row>
    <row r="211" spans="2:35" ht="15.75" hidden="1" customHeight="1" x14ac:dyDescent="0.3">
      <c r="B211" s="218" t="s">
        <v>775</v>
      </c>
      <c r="C211" s="212" t="s">
        <v>378</v>
      </c>
      <c r="D211" s="212" t="s">
        <v>478</v>
      </c>
      <c r="E211" s="212" t="s">
        <v>180</v>
      </c>
      <c r="F211" s="212" t="s">
        <v>479</v>
      </c>
      <c r="G211" s="212" t="s">
        <v>480</v>
      </c>
      <c r="H211" s="212" t="s">
        <v>481</v>
      </c>
      <c r="I211" s="212" t="s">
        <v>552</v>
      </c>
      <c r="J211" s="212" t="s">
        <v>553</v>
      </c>
      <c r="K211" s="212" t="s">
        <v>700</v>
      </c>
      <c r="L211" s="212">
        <v>216877</v>
      </c>
      <c r="M211" s="212" t="s">
        <v>956</v>
      </c>
      <c r="N211" s="212" t="s">
        <v>957</v>
      </c>
      <c r="O211" s="221">
        <v>96.637</v>
      </c>
      <c r="P211" s="221">
        <v>25.806999999999999</v>
      </c>
      <c r="Q211" s="233"/>
      <c r="R211" s="292"/>
      <c r="S211" s="292"/>
      <c r="T211" s="222" t="str">
        <f>IF(CampList[[#This Row],[HH]]&gt;0,CampList[[#This Row],[Total]]/CampList[[#This Row],[HH]],"NA")</f>
        <v>NA</v>
      </c>
      <c r="U211" s="214" t="s">
        <v>464</v>
      </c>
      <c r="V211" s="214" t="s">
        <v>995</v>
      </c>
      <c r="W211" s="214" t="s">
        <v>507</v>
      </c>
      <c r="X211" s="214" t="s">
        <v>784</v>
      </c>
      <c r="Y211" s="331">
        <v>42019</v>
      </c>
      <c r="Z211" s="224" t="s">
        <v>424</v>
      </c>
      <c r="AA211" s="212" t="s">
        <v>774</v>
      </c>
      <c r="AB211" s="225">
        <v>42919</v>
      </c>
      <c r="AC211" s="226" t="s">
        <v>1276</v>
      </c>
      <c r="AD211" s="214" t="str">
        <f ca="1">IFERROR(OFFSET(DistanceToCamp[Nearest Town],MATCH(CampList[[#This Row],[CP_Pcode]],DistanceToCamp[CP_Pcode],0)-1,0,1,1),"")</f>
        <v>Hpakant Town</v>
      </c>
      <c r="AE211" s="227">
        <f ca="1">IFERROR(OFFSET(DistanceToCamp[distance],MATCH(CampList[[#This Row],[CP_Pcode]],DistanceToCamp[CP_Pcode],0)-1,0,1,1),"")</f>
        <v>10</v>
      </c>
      <c r="AF211" s="237">
        <f ca="1">IFERROR(INT(CampList[[#This Row],[Distance]]/5)+1,"")</f>
        <v>3</v>
      </c>
    </row>
    <row r="212" spans="2:35" ht="15.75" customHeight="1" x14ac:dyDescent="0.3">
      <c r="B212" s="218" t="s">
        <v>460</v>
      </c>
      <c r="C212" s="212" t="s">
        <v>378</v>
      </c>
      <c r="D212" s="212" t="s">
        <v>478</v>
      </c>
      <c r="E212" s="212" t="s">
        <v>180</v>
      </c>
      <c r="F212" s="212" t="s">
        <v>479</v>
      </c>
      <c r="G212" s="212" t="s">
        <v>180</v>
      </c>
      <c r="H212" s="212" t="s">
        <v>504</v>
      </c>
      <c r="I212" s="212" t="s">
        <v>1007</v>
      </c>
      <c r="J212" s="212" t="s">
        <v>1110</v>
      </c>
      <c r="K212" s="212" t="s">
        <v>1111</v>
      </c>
      <c r="L212" s="212" t="s">
        <v>1112</v>
      </c>
      <c r="M212" s="212" t="s">
        <v>984</v>
      </c>
      <c r="N212" s="212" t="s">
        <v>986</v>
      </c>
      <c r="O212" s="221">
        <v>96.52534</v>
      </c>
      <c r="P212" s="221">
        <v>24.996279999999999</v>
      </c>
      <c r="Q212" s="233"/>
      <c r="R212" s="221">
        <v>27</v>
      </c>
      <c r="S212" s="233">
        <v>121</v>
      </c>
      <c r="T212" s="222">
        <f>IF(CampList[[#This Row],[HH]]&gt;0,CampList[[#This Row],[Total]]/CampList[[#This Row],[HH]],"NA")</f>
        <v>4.4814814814814818</v>
      </c>
      <c r="U212" s="214" t="s">
        <v>464</v>
      </c>
      <c r="V212" s="214" t="s">
        <v>995</v>
      </c>
      <c r="W212" s="244" t="s">
        <v>12</v>
      </c>
      <c r="X212" s="214" t="s">
        <v>742</v>
      </c>
      <c r="Y212" s="332">
        <v>41275</v>
      </c>
      <c r="Z212" s="224" t="s">
        <v>1322</v>
      </c>
      <c r="AA212" s="212" t="s">
        <v>774</v>
      </c>
      <c r="AB212" s="225">
        <v>42849</v>
      </c>
      <c r="AC212" s="226" t="s">
        <v>1235</v>
      </c>
      <c r="AD212" s="214" t="str">
        <f ca="1">IFERROR(OFFSET(DistanceToCamp[Nearest Town],MATCH(CampList[[#This Row],[CP_Pcode]],DistanceToCamp[CP_Pcode],0)-1,0,1,1),"")</f>
        <v>Hopin Town</v>
      </c>
      <c r="AE212" s="227">
        <f ca="1">IFERROR(OFFSET(DistanceToCamp[distance],MATCH(CampList[[#This Row],[CP_Pcode]],DistanceToCamp[CP_Pcode],0)-1,0,1,1),"")</f>
        <v>0</v>
      </c>
      <c r="AF212" s="228">
        <f ca="1">IFERROR(INT(CampList[[#This Row],[Distance]]/5)+1,"")</f>
        <v>1</v>
      </c>
    </row>
    <row r="213" spans="2:35" ht="15.75" customHeight="1" x14ac:dyDescent="0.3">
      <c r="B213" s="218" t="s">
        <v>460</v>
      </c>
      <c r="C213" s="212" t="s">
        <v>378</v>
      </c>
      <c r="D213" s="212" t="s">
        <v>478</v>
      </c>
      <c r="E213" s="212" t="s">
        <v>180</v>
      </c>
      <c r="F213" s="212" t="s">
        <v>479</v>
      </c>
      <c r="G213" s="212" t="s">
        <v>180</v>
      </c>
      <c r="H213" s="212" t="s">
        <v>504</v>
      </c>
      <c r="I213" s="212" t="s">
        <v>960</v>
      </c>
      <c r="J213" s="212" t="s">
        <v>1038</v>
      </c>
      <c r="K213" s="212"/>
      <c r="L213" s="212"/>
      <c r="M213" s="212" t="s">
        <v>985</v>
      </c>
      <c r="N213" s="212" t="s">
        <v>987</v>
      </c>
      <c r="O213" s="221">
        <v>96.366919999999993</v>
      </c>
      <c r="P213" s="221">
        <v>24.764959999999999</v>
      </c>
      <c r="Q213" s="233"/>
      <c r="R213" s="221">
        <v>14</v>
      </c>
      <c r="S213" s="233">
        <v>63</v>
      </c>
      <c r="T213" s="222">
        <f>IF(CampList[[#This Row],[HH]]&gt;0,CampList[[#This Row],[Total]]/CampList[[#This Row],[HH]],"NA")</f>
        <v>4.5</v>
      </c>
      <c r="U213" s="214" t="s">
        <v>464</v>
      </c>
      <c r="V213" s="214" t="s">
        <v>995</v>
      </c>
      <c r="W213" s="244" t="s">
        <v>12</v>
      </c>
      <c r="X213" s="214" t="s">
        <v>742</v>
      </c>
      <c r="Y213" s="332">
        <v>41275</v>
      </c>
      <c r="Z213" s="224" t="s">
        <v>1322</v>
      </c>
      <c r="AA213" s="212" t="s">
        <v>774</v>
      </c>
      <c r="AB213" s="225">
        <v>42849</v>
      </c>
      <c r="AC213" s="226" t="s">
        <v>1236</v>
      </c>
      <c r="AD213" s="214" t="str">
        <f ca="1">IFERROR(OFFSET(DistanceToCamp[Nearest Town],MATCH(CampList[[#This Row],[CP_Pcode]],DistanceToCamp[CP_Pcode],0)-1,0,1,1),"")</f>
        <v>Mohnyin Town</v>
      </c>
      <c r="AE213" s="227">
        <f ca="1">IFERROR(OFFSET(DistanceToCamp[distance],MATCH(CampList[[#This Row],[CP_Pcode]],DistanceToCamp[CP_Pcode],0)-1,0,1,1),"")</f>
        <v>0</v>
      </c>
      <c r="AF213" s="228">
        <f ca="1">IFERROR(INT(CampList[[#This Row],[Distance]]/5)+1,"")</f>
        <v>1</v>
      </c>
    </row>
    <row r="214" spans="2:35" s="199" customFormat="1" ht="15.75" hidden="1" customHeight="1" x14ac:dyDescent="0.3">
      <c r="B214" s="218" t="s">
        <v>775</v>
      </c>
      <c r="C214" s="212" t="s">
        <v>506</v>
      </c>
      <c r="D214" s="212" t="s">
        <v>489</v>
      </c>
      <c r="E214" s="212" t="s">
        <v>230</v>
      </c>
      <c r="F214" s="212" t="s">
        <v>490</v>
      </c>
      <c r="G214" s="212" t="s">
        <v>288</v>
      </c>
      <c r="H214" s="212" t="s">
        <v>502</v>
      </c>
      <c r="I214" s="212" t="s">
        <v>691</v>
      </c>
      <c r="J214" s="212" t="s">
        <v>692</v>
      </c>
      <c r="K214" s="212" t="s">
        <v>691</v>
      </c>
      <c r="L214" s="212">
        <v>208353</v>
      </c>
      <c r="M214" s="212" t="s">
        <v>373</v>
      </c>
      <c r="N214" s="212" t="s">
        <v>387</v>
      </c>
      <c r="O214" s="219">
        <v>97.678299999999993</v>
      </c>
      <c r="P214" s="219">
        <v>23.82152</v>
      </c>
      <c r="Q214" s="233">
        <v>813.4</v>
      </c>
      <c r="R214" s="302">
        <v>0</v>
      </c>
      <c r="S214" s="303">
        <v>0</v>
      </c>
      <c r="T214" s="222" t="str">
        <f>IF(CampList[[#This Row],[HH]]&gt;0,CampList[[#This Row],[Total]]/CampList[[#This Row],[HH]],"NA")</f>
        <v>NA</v>
      </c>
      <c r="U214" s="214" t="s">
        <v>466</v>
      </c>
      <c r="V214" s="214" t="s">
        <v>995</v>
      </c>
      <c r="W214" s="214" t="s">
        <v>507</v>
      </c>
      <c r="X214" s="214"/>
      <c r="Y214" s="234"/>
      <c r="Z214" s="223" t="s">
        <v>935</v>
      </c>
      <c r="AA214" s="239" t="s">
        <v>774</v>
      </c>
      <c r="AB214" s="225">
        <v>41712</v>
      </c>
      <c r="AC214" s="218" t="s">
        <v>878</v>
      </c>
      <c r="AD214" s="214" t="str">
        <f ca="1">IFERROR(OFFSET(DistanceToCamp[Nearest Town],MATCH(CampList[[#This Row],[CP_Pcode]],DistanceToCamp[CP_Pcode],0)-1,0,1,1),"")</f>
        <v/>
      </c>
      <c r="AE214" s="227" t="str">
        <f ca="1">IFERROR(OFFSET(DistanceToCamp[distance],MATCH(CampList[[#This Row],[CP_Pcode]],DistanceToCamp[CP_Pcode],0)-1,0,1,1),"")</f>
        <v/>
      </c>
      <c r="AF214" s="228" t="str">
        <f ca="1">IFERROR(INT(CampList[[#This Row],[Distance]]/5)+1,"")</f>
        <v/>
      </c>
      <c r="AH214" s="640"/>
      <c r="AI214" s="640"/>
    </row>
    <row r="215" spans="2:35" s="199" customFormat="1" ht="15.75" customHeight="1" x14ac:dyDescent="0.3">
      <c r="B215" s="218" t="s">
        <v>460</v>
      </c>
      <c r="C215" s="212" t="s">
        <v>378</v>
      </c>
      <c r="D215" s="212" t="s">
        <v>478</v>
      </c>
      <c r="E215" s="212" t="s">
        <v>299</v>
      </c>
      <c r="F215" s="212" t="s">
        <v>499</v>
      </c>
      <c r="G215" s="212" t="s">
        <v>299</v>
      </c>
      <c r="H215" s="212" t="s">
        <v>505</v>
      </c>
      <c r="I215" s="213" t="s">
        <v>740</v>
      </c>
      <c r="J215" s="232" t="s">
        <v>741</v>
      </c>
      <c r="K215" s="213" t="s">
        <v>1052</v>
      </c>
      <c r="L215" s="226" t="s">
        <v>1053</v>
      </c>
      <c r="M215" s="213" t="s">
        <v>1046</v>
      </c>
      <c r="N215" s="212" t="s">
        <v>1045</v>
      </c>
      <c r="O215" s="251">
        <v>97.416121000000004</v>
      </c>
      <c r="P215" s="251">
        <v>27.337499999999999</v>
      </c>
      <c r="Q215" s="233"/>
      <c r="R215" s="292">
        <v>61</v>
      </c>
      <c r="S215" s="292">
        <v>281</v>
      </c>
      <c r="T215" s="222">
        <f>IF(CampList[[#This Row],[HH]]&gt;0,CampList[[#This Row],[Total]]/CampList[[#This Row],[HH]],"NA")</f>
        <v>4.6065573770491799</v>
      </c>
      <c r="U215" s="214" t="s">
        <v>464</v>
      </c>
      <c r="V215" s="214" t="s">
        <v>995</v>
      </c>
      <c r="W215" s="214" t="s">
        <v>507</v>
      </c>
      <c r="X215" s="197" t="s">
        <v>742</v>
      </c>
      <c r="Y215" s="332">
        <v>42180</v>
      </c>
      <c r="Z215" s="233" t="s">
        <v>424</v>
      </c>
      <c r="AA215" s="212" t="s">
        <v>774</v>
      </c>
      <c r="AB215" s="225">
        <v>43235</v>
      </c>
      <c r="AC215" s="235" t="s">
        <v>1775</v>
      </c>
      <c r="AD215" s="214" t="str">
        <f ca="1">IFERROR(OFFSET(DistanceToCamp[Nearest Town],MATCH(CampList[[#This Row],[CP_Pcode]],DistanceToCamp[CP_Pcode],0)-1,0,1,1),"")</f>
        <v>Puta-O Town</v>
      </c>
      <c r="AE215" s="227">
        <f ca="1">IFERROR(OFFSET(DistanceToCamp[distance],MATCH(CampList[[#This Row],[CP_Pcode]],DistanceToCamp[CP_Pcode],0)-1,0,1,1),"")</f>
        <v>0</v>
      </c>
      <c r="AF215" s="228">
        <f ca="1">IFERROR(INT(CampList[[#This Row],[Distance]]/5)+1,"")</f>
        <v>1</v>
      </c>
      <c r="AH215" s="640"/>
      <c r="AI215" s="640"/>
    </row>
    <row r="216" spans="2:35" s="199" customFormat="1" ht="15.75" hidden="1" customHeight="1" x14ac:dyDescent="0.3">
      <c r="B216" s="218" t="s">
        <v>775</v>
      </c>
      <c r="C216" s="212" t="s">
        <v>378</v>
      </c>
      <c r="D216" s="212" t="s">
        <v>478</v>
      </c>
      <c r="E216" s="212" t="s">
        <v>180</v>
      </c>
      <c r="F216" s="212" t="s">
        <v>479</v>
      </c>
      <c r="G216" s="212" t="s">
        <v>173</v>
      </c>
      <c r="H216" s="212" t="s">
        <v>498</v>
      </c>
      <c r="I216" s="212" t="s">
        <v>1058</v>
      </c>
      <c r="J216" s="212" t="s">
        <v>1059</v>
      </c>
      <c r="K216" s="212" t="s">
        <v>1058</v>
      </c>
      <c r="L216" s="240">
        <v>166724</v>
      </c>
      <c r="M216" s="212" t="s">
        <v>1063</v>
      </c>
      <c r="N216" s="212" t="s">
        <v>1055</v>
      </c>
      <c r="O216" s="219">
        <v>96.793999999999997</v>
      </c>
      <c r="P216" s="219">
        <v>25.225000000000001</v>
      </c>
      <c r="Q216" s="233"/>
      <c r="R216" s="221"/>
      <c r="S216" s="233"/>
      <c r="T216" s="222" t="str">
        <f>IF(CampList[[#This Row],[HH]]&gt;0,CampList[[#This Row],[Total]]/CampList[[#This Row],[HH]],"NA")</f>
        <v>NA</v>
      </c>
      <c r="U216" s="214" t="s">
        <v>464</v>
      </c>
      <c r="V216" s="214" t="s">
        <v>995</v>
      </c>
      <c r="W216" s="214" t="s">
        <v>12</v>
      </c>
      <c r="X216" s="214" t="s">
        <v>784</v>
      </c>
      <c r="Y216" s="332">
        <v>42125</v>
      </c>
      <c r="Z216" s="224"/>
      <c r="AA216" s="239" t="s">
        <v>773</v>
      </c>
      <c r="AB216" s="225">
        <v>42927</v>
      </c>
      <c r="AC216" s="226" t="s">
        <v>1292</v>
      </c>
      <c r="AD216" s="214" t="str">
        <f ca="1">IFERROR(OFFSET(DistanceToCamp[Nearest Town],MATCH(CampList[[#This Row],[CP_Pcode]],DistanceToCamp[CP_Pcode],0)-1,0,1,1),"")</f>
        <v>Mogaung Town</v>
      </c>
      <c r="AE216" s="227">
        <f ca="1">IFERROR(OFFSET(DistanceToCamp[distance],MATCH(CampList[[#This Row],[CP_Pcode]],DistanceToCamp[CP_Pcode],0)-1,0,1,1),"")</f>
        <v>5</v>
      </c>
      <c r="AF216" s="228">
        <f ca="1">IFERROR(INT(CampList[[#This Row],[Distance]]/5)+1,"")</f>
        <v>2</v>
      </c>
      <c r="AH216" s="640"/>
      <c r="AI216" s="640"/>
    </row>
    <row r="217" spans="2:35" s="199" customFormat="1" ht="15.75" customHeight="1" x14ac:dyDescent="0.3">
      <c r="B217" s="218" t="s">
        <v>460</v>
      </c>
      <c r="C217" s="212" t="s">
        <v>378</v>
      </c>
      <c r="D217" s="212" t="s">
        <v>478</v>
      </c>
      <c r="E217" s="212" t="s">
        <v>180</v>
      </c>
      <c r="F217" s="212" t="s">
        <v>479</v>
      </c>
      <c r="G217" s="212" t="s">
        <v>173</v>
      </c>
      <c r="H217" s="212" t="s">
        <v>498</v>
      </c>
      <c r="I217" s="212" t="s">
        <v>1058</v>
      </c>
      <c r="J217" s="212" t="s">
        <v>1059</v>
      </c>
      <c r="K217" s="212" t="s">
        <v>1058</v>
      </c>
      <c r="L217" s="212">
        <v>166724</v>
      </c>
      <c r="M217" s="212" t="s">
        <v>1062</v>
      </c>
      <c r="N217" s="212" t="s">
        <v>1056</v>
      </c>
      <c r="O217" s="219">
        <v>96.793999999999997</v>
      </c>
      <c r="P217" s="219">
        <v>25.225000000000001</v>
      </c>
      <c r="Q217" s="233"/>
      <c r="R217" s="292">
        <v>27</v>
      </c>
      <c r="S217" s="292">
        <v>135</v>
      </c>
      <c r="T217" s="222">
        <f>IF(CampList[[#This Row],[HH]]&gt;0,CampList[[#This Row],[Total]]/CampList[[#This Row],[HH]],"NA")</f>
        <v>5</v>
      </c>
      <c r="U217" s="214" t="s">
        <v>464</v>
      </c>
      <c r="V217" s="214" t="s">
        <v>995</v>
      </c>
      <c r="W217" s="214" t="s">
        <v>507</v>
      </c>
      <c r="X217" s="214" t="s">
        <v>784</v>
      </c>
      <c r="Y217" s="332">
        <v>42125</v>
      </c>
      <c r="Z217" s="224" t="s">
        <v>424</v>
      </c>
      <c r="AA217" s="213" t="s">
        <v>774</v>
      </c>
      <c r="AB217" s="225">
        <v>43235</v>
      </c>
      <c r="AC217" s="226" t="s">
        <v>1776</v>
      </c>
      <c r="AD217" s="214" t="str">
        <f ca="1">IFERROR(OFFSET(DistanceToCamp[Nearest Town],MATCH(CampList[[#This Row],[CP_Pcode]],DistanceToCamp[CP_Pcode],0)-1,0,1,1),"")</f>
        <v>Mogaung Town</v>
      </c>
      <c r="AE217" s="227">
        <f ca="1">IFERROR(OFFSET(DistanceToCamp[distance],MATCH(CampList[[#This Row],[CP_Pcode]],DistanceToCamp[CP_Pcode],0)-1,0,1,1),"")</f>
        <v>5</v>
      </c>
      <c r="AF217" s="228">
        <f ca="1">IFERROR(INT(CampList[[#This Row],[Distance]]/5)+1,"")</f>
        <v>2</v>
      </c>
      <c r="AH217" s="640"/>
      <c r="AI217" s="640"/>
    </row>
    <row r="218" spans="2:35" s="199" customFormat="1" ht="15.75" hidden="1" customHeight="1" x14ac:dyDescent="0.3">
      <c r="B218" s="231" t="s">
        <v>775</v>
      </c>
      <c r="C218" s="213" t="s">
        <v>378</v>
      </c>
      <c r="D218" s="212" t="s">
        <v>478</v>
      </c>
      <c r="E218" s="212" t="s">
        <v>180</v>
      </c>
      <c r="F218" s="212" t="s">
        <v>479</v>
      </c>
      <c r="G218" s="213" t="s">
        <v>173</v>
      </c>
      <c r="H218" s="213" t="s">
        <v>498</v>
      </c>
      <c r="I218" s="213" t="s">
        <v>572</v>
      </c>
      <c r="J218" s="232" t="s">
        <v>573</v>
      </c>
      <c r="K218" s="213" t="s">
        <v>574</v>
      </c>
      <c r="L218" s="213">
        <v>166676</v>
      </c>
      <c r="M218" s="213" t="s">
        <v>1054</v>
      </c>
      <c r="N218" s="213" t="s">
        <v>1057</v>
      </c>
      <c r="O218" s="221">
        <v>96.942279999999997</v>
      </c>
      <c r="P218" s="221">
        <v>25.299679999999999</v>
      </c>
      <c r="Q218" s="233"/>
      <c r="R218" s="221">
        <v>6</v>
      </c>
      <c r="S218" s="233">
        <v>31</v>
      </c>
      <c r="T218" s="222">
        <f>IF(CampList[[#This Row],[HH]]&gt;0,CampList[[#This Row],[Total]]/CampList[[#This Row],[HH]],"NA")</f>
        <v>5.166666666666667</v>
      </c>
      <c r="U218" s="197" t="s">
        <v>464</v>
      </c>
      <c r="V218" s="214" t="s">
        <v>995</v>
      </c>
      <c r="W218" s="214" t="s">
        <v>1391</v>
      </c>
      <c r="X218" s="197" t="s">
        <v>742</v>
      </c>
      <c r="Y218" s="332">
        <v>42125</v>
      </c>
      <c r="Z218" s="233"/>
      <c r="AA218" s="213" t="s">
        <v>774</v>
      </c>
      <c r="AB218" s="225">
        <v>42915</v>
      </c>
      <c r="AC218" s="235" t="s">
        <v>1674</v>
      </c>
      <c r="AD218" s="214" t="str">
        <f ca="1">IFERROR(OFFSET(DistanceToCamp[Nearest Town],MATCH(CampList[[#This Row],[CP_Pcode]],DistanceToCamp[CP_Pcode],0)-1,0,1,1),"")</f>
        <v>Mogaung Town</v>
      </c>
      <c r="AE218" s="227">
        <f ca="1">IFERROR(OFFSET(DistanceToCamp[distance],MATCH(CampList[[#This Row],[CP_Pcode]],DistanceToCamp[CP_Pcode],0)-1,0,1,1),"")</f>
        <v>0.75</v>
      </c>
      <c r="AF218" s="228">
        <f ca="1">IFERROR(INT(CampList[[#This Row],[Distance]]/5)+1,"")</f>
        <v>1</v>
      </c>
      <c r="AH218" s="640"/>
      <c r="AI218" s="640"/>
    </row>
    <row r="219" spans="2:35" s="199" customFormat="1" ht="15.75" customHeight="1" x14ac:dyDescent="0.3">
      <c r="B219" s="218" t="s">
        <v>460</v>
      </c>
      <c r="C219" s="212" t="s">
        <v>506</v>
      </c>
      <c r="D219" s="212" t="s">
        <v>489</v>
      </c>
      <c r="E219" s="212" t="s">
        <v>230</v>
      </c>
      <c r="F219" s="212" t="s">
        <v>490</v>
      </c>
      <c r="G219" s="212" t="s">
        <v>288</v>
      </c>
      <c r="H219" s="212" t="s">
        <v>502</v>
      </c>
      <c r="I219" s="212" t="s">
        <v>691</v>
      </c>
      <c r="J219" s="212" t="s">
        <v>692</v>
      </c>
      <c r="K219" s="212" t="s">
        <v>691</v>
      </c>
      <c r="L219" s="212">
        <v>208353</v>
      </c>
      <c r="M219" s="212" t="s">
        <v>289</v>
      </c>
      <c r="N219" s="212" t="s">
        <v>287</v>
      </c>
      <c r="O219" s="219">
        <v>97.669557999999995</v>
      </c>
      <c r="P219" s="219">
        <v>23.828520000000001</v>
      </c>
      <c r="Q219" s="220">
        <v>740</v>
      </c>
      <c r="R219" s="219">
        <v>66</v>
      </c>
      <c r="S219" s="219">
        <v>336</v>
      </c>
      <c r="T219" s="222">
        <f>IF(CampList[[#This Row],[HH]]&gt;0,CampList[[#This Row],[Total]]/CampList[[#This Row],[HH]],"NA")</f>
        <v>5.0909090909090908</v>
      </c>
      <c r="U219" s="214" t="s">
        <v>464</v>
      </c>
      <c r="V219" s="214" t="s">
        <v>995</v>
      </c>
      <c r="W219" s="214" t="s">
        <v>507</v>
      </c>
      <c r="X219" s="214" t="s">
        <v>742</v>
      </c>
      <c r="Y219" s="223">
        <v>40878</v>
      </c>
      <c r="Z219" s="223" t="s">
        <v>424</v>
      </c>
      <c r="AA219" s="239" t="s">
        <v>774</v>
      </c>
      <c r="AB219" s="225">
        <v>43235</v>
      </c>
      <c r="AC219" s="226" t="s">
        <v>1782</v>
      </c>
      <c r="AD219" s="214" t="str">
        <f ca="1">IFERROR(OFFSET(DistanceToCamp[Nearest Town],MATCH(CampList[[#This Row],[CP_Pcode]],DistanceToCamp[CP_Pcode],0)-1,0,1,1),"")</f>
        <v>Namhkan Town</v>
      </c>
      <c r="AE219" s="227">
        <f ca="1">IFERROR(OFFSET(DistanceToCamp[distance],MATCH(CampList[[#This Row],[CP_Pcode]],DistanceToCamp[CP_Pcode],0)-1,0,1,1),"")</f>
        <v>1.5619149693996526</v>
      </c>
      <c r="AF219" s="228">
        <f ca="1">IFERROR(INT(CampList[[#This Row],[Distance]]/5)+1,"")</f>
        <v>1</v>
      </c>
      <c r="AH219" s="640"/>
      <c r="AI219" s="640"/>
    </row>
    <row r="220" spans="2:35" s="199" customFormat="1" ht="15.75" customHeight="1" x14ac:dyDescent="0.3">
      <c r="B220" s="218" t="s">
        <v>460</v>
      </c>
      <c r="C220" s="212" t="s">
        <v>506</v>
      </c>
      <c r="D220" s="212" t="s">
        <v>489</v>
      </c>
      <c r="E220" s="212" t="s">
        <v>230</v>
      </c>
      <c r="F220" s="212" t="s">
        <v>490</v>
      </c>
      <c r="G220" s="212" t="s">
        <v>288</v>
      </c>
      <c r="H220" s="212" t="s">
        <v>502</v>
      </c>
      <c r="I220" s="212" t="s">
        <v>691</v>
      </c>
      <c r="J220" s="212" t="s">
        <v>692</v>
      </c>
      <c r="K220" s="212" t="s">
        <v>691</v>
      </c>
      <c r="L220" s="212">
        <v>208353</v>
      </c>
      <c r="M220" s="212" t="s">
        <v>291</v>
      </c>
      <c r="N220" s="212" t="s">
        <v>290</v>
      </c>
      <c r="O220" s="219">
        <v>97.681970000000007</v>
      </c>
      <c r="P220" s="219">
        <v>23.821380000000001</v>
      </c>
      <c r="Q220" s="220">
        <v>811.6</v>
      </c>
      <c r="R220" s="219">
        <v>75</v>
      </c>
      <c r="S220" s="292">
        <v>367</v>
      </c>
      <c r="T220" s="222">
        <f>IF(CampList[[#This Row],[HH]]&gt;0,CampList[[#This Row],[Total]]/CampList[[#This Row],[HH]],"NA")</f>
        <v>4.8933333333333335</v>
      </c>
      <c r="U220" s="214" t="s">
        <v>464</v>
      </c>
      <c r="V220" s="214" t="s">
        <v>995</v>
      </c>
      <c r="W220" s="214" t="s">
        <v>507</v>
      </c>
      <c r="X220" s="214" t="s">
        <v>742</v>
      </c>
      <c r="Y220" s="223">
        <v>41609</v>
      </c>
      <c r="Z220" s="223" t="s">
        <v>424</v>
      </c>
      <c r="AA220" s="239" t="s">
        <v>774</v>
      </c>
      <c r="AB220" s="225">
        <v>43235</v>
      </c>
      <c r="AC220" s="226" t="s">
        <v>1774</v>
      </c>
      <c r="AD220" s="214" t="str">
        <f ca="1">IFERROR(OFFSET(DistanceToCamp[Nearest Town],MATCH(CampList[[#This Row],[CP_Pcode]],DistanceToCamp[CP_Pcode],0)-1,0,1,1),"")</f>
        <v>Namhkan Town</v>
      </c>
      <c r="AE220" s="227">
        <f ca="1">IFERROR(OFFSET(DistanceToCamp[distance],MATCH(CampList[[#This Row],[CP_Pcode]],DistanceToCamp[CP_Pcode],0)-1,0,1,1),"")</f>
        <v>1.7369508287203668</v>
      </c>
      <c r="AF220" s="228">
        <f ca="1">IFERROR(INT(CampList[[#This Row],[Distance]]/5)+1,"")</f>
        <v>1</v>
      </c>
      <c r="AH220" s="640"/>
      <c r="AI220" s="640"/>
    </row>
    <row r="221" spans="2:35" s="199" customFormat="1" ht="15.75" customHeight="1" x14ac:dyDescent="0.3">
      <c r="B221" s="231" t="s">
        <v>460</v>
      </c>
      <c r="C221" s="213" t="s">
        <v>378</v>
      </c>
      <c r="D221" s="212" t="s">
        <v>478</v>
      </c>
      <c r="E221" s="212" t="s">
        <v>299</v>
      </c>
      <c r="F221" s="212" t="s">
        <v>499</v>
      </c>
      <c r="G221" s="212" t="s">
        <v>746</v>
      </c>
      <c r="H221" s="212" t="s">
        <v>747</v>
      </c>
      <c r="I221" s="213"/>
      <c r="J221" s="232"/>
      <c r="K221" s="213"/>
      <c r="L221" s="213"/>
      <c r="M221" s="212" t="s">
        <v>1066</v>
      </c>
      <c r="N221" s="213" t="s">
        <v>1067</v>
      </c>
      <c r="O221" s="251">
        <v>97.745480999999998</v>
      </c>
      <c r="P221" s="251">
        <v>26.569633</v>
      </c>
      <c r="Q221" s="233"/>
      <c r="R221" s="292">
        <v>126</v>
      </c>
      <c r="S221" s="292">
        <v>779</v>
      </c>
      <c r="T221" s="222">
        <f>IF(CampList[[#This Row],[HH]]&gt;0,CampList[[#This Row],[Total]]/CampList[[#This Row],[HH]],"NA")</f>
        <v>6.1825396825396828</v>
      </c>
      <c r="U221" s="197" t="s">
        <v>466</v>
      </c>
      <c r="V221" s="214" t="s">
        <v>995</v>
      </c>
      <c r="W221" s="197" t="s">
        <v>507</v>
      </c>
      <c r="X221" s="197" t="s">
        <v>784</v>
      </c>
      <c r="Y221" s="332">
        <v>42036</v>
      </c>
      <c r="Z221" s="233" t="s">
        <v>424</v>
      </c>
      <c r="AA221" s="213" t="s">
        <v>774</v>
      </c>
      <c r="AB221" s="225">
        <v>43235</v>
      </c>
      <c r="AC221" s="252" t="s">
        <v>1777</v>
      </c>
      <c r="AD221" s="214" t="str">
        <f ca="1">IFERROR(OFFSET(DistanceToCamp[Nearest Town],MATCH(CampList[[#This Row],[CP_Pcode]],DistanceToCamp[CP_Pcode],0)-1,0,1,1),"")</f>
        <v>Sumprabum Town</v>
      </c>
      <c r="AE221" s="227">
        <f ca="1">IFERROR(OFFSET(DistanceToCamp[distance],MATCH(CampList[[#This Row],[CP_Pcode]],DistanceToCamp[CP_Pcode],0)-1,0,1,1),"")</f>
        <v>0</v>
      </c>
      <c r="AF221" s="228">
        <f ca="1">IFERROR(INT(CampList[[#This Row],[Distance]]/5)+1,"")</f>
        <v>1</v>
      </c>
      <c r="AH221" s="640"/>
      <c r="AI221" s="640"/>
    </row>
    <row r="222" spans="2:35" s="199" customFormat="1" ht="15.75" customHeight="1" x14ac:dyDescent="0.3">
      <c r="B222" s="231" t="s">
        <v>460</v>
      </c>
      <c r="C222" s="213" t="s">
        <v>378</v>
      </c>
      <c r="D222" s="212" t="s">
        <v>478</v>
      </c>
      <c r="E222" s="212" t="s">
        <v>299</v>
      </c>
      <c r="F222" s="212" t="s">
        <v>499</v>
      </c>
      <c r="G222" s="212" t="s">
        <v>746</v>
      </c>
      <c r="H222" s="212" t="s">
        <v>747</v>
      </c>
      <c r="I222" s="213"/>
      <c r="J222" s="232"/>
      <c r="K222" s="213"/>
      <c r="L222" s="213"/>
      <c r="M222" s="213" t="s">
        <v>1068</v>
      </c>
      <c r="N222" s="213" t="s">
        <v>1069</v>
      </c>
      <c r="O222" s="251">
        <v>97.75609</v>
      </c>
      <c r="P222" s="251">
        <v>26.548506</v>
      </c>
      <c r="Q222" s="233"/>
      <c r="R222" s="292">
        <v>67</v>
      </c>
      <c r="S222" s="292">
        <v>332</v>
      </c>
      <c r="T222" s="222">
        <f>IF(CampList[[#This Row],[HH]]&gt;0,CampList[[#This Row],[Total]]/CampList[[#This Row],[HH]],"NA")</f>
        <v>4.955223880597015</v>
      </c>
      <c r="U222" s="197" t="s">
        <v>466</v>
      </c>
      <c r="V222" s="214" t="s">
        <v>995</v>
      </c>
      <c r="W222" s="197" t="s">
        <v>507</v>
      </c>
      <c r="X222" s="197" t="s">
        <v>784</v>
      </c>
      <c r="Y222" s="332">
        <v>42036</v>
      </c>
      <c r="Z222" s="233" t="s">
        <v>424</v>
      </c>
      <c r="AA222" s="213" t="s">
        <v>774</v>
      </c>
      <c r="AB222" s="225">
        <v>43235</v>
      </c>
      <c r="AC222" s="252" t="s">
        <v>1778</v>
      </c>
      <c r="AD222" s="214" t="str">
        <f ca="1">IFERROR(OFFSET(DistanceToCamp[Nearest Town],MATCH(CampList[[#This Row],[CP_Pcode]],DistanceToCamp[CP_Pcode],0)-1,0,1,1),"")</f>
        <v>Sumprabum Town</v>
      </c>
      <c r="AE222" s="227">
        <f ca="1">IFERROR(OFFSET(DistanceToCamp[distance],MATCH(CampList[[#This Row],[CP_Pcode]],DistanceToCamp[CP_Pcode],0)-1,0,1,1),"")</f>
        <v>0</v>
      </c>
      <c r="AF222" s="228">
        <f ca="1">IFERROR(INT(CampList[[#This Row],[Distance]]/5)+1,"")</f>
        <v>1</v>
      </c>
      <c r="AH222" s="640"/>
      <c r="AI222" s="640"/>
    </row>
    <row r="223" spans="2:35" s="199" customFormat="1" ht="15.75" hidden="1" customHeight="1" x14ac:dyDescent="0.3">
      <c r="B223" s="231" t="s">
        <v>775</v>
      </c>
      <c r="C223" s="212" t="s">
        <v>378</v>
      </c>
      <c r="D223" s="212" t="s">
        <v>478</v>
      </c>
      <c r="E223" s="212" t="s">
        <v>5</v>
      </c>
      <c r="F223" s="212" t="s">
        <v>482</v>
      </c>
      <c r="G223" s="256" t="s">
        <v>185</v>
      </c>
      <c r="H223" s="256" t="s">
        <v>486</v>
      </c>
      <c r="I223" s="256" t="s">
        <v>1009</v>
      </c>
      <c r="J223" s="256" t="s">
        <v>1079</v>
      </c>
      <c r="K223" s="213" t="s">
        <v>656</v>
      </c>
      <c r="L223" s="212" t="s">
        <v>1109</v>
      </c>
      <c r="M223" s="212" t="s">
        <v>1080</v>
      </c>
      <c r="N223" s="212" t="s">
        <v>1081</v>
      </c>
      <c r="O223" s="257">
        <v>97.461271999999994</v>
      </c>
      <c r="P223" s="257">
        <v>24.613976000000001</v>
      </c>
      <c r="Q223" s="233"/>
      <c r="R223" s="220"/>
      <c r="S223" s="233"/>
      <c r="T223" s="222" t="str">
        <f>IF(CampList[[#This Row],[HH]]&gt;0,CampList[[#This Row],[Total]]/CampList[[#This Row],[HH]],"NA")</f>
        <v>NA</v>
      </c>
      <c r="U223" s="214" t="s">
        <v>464</v>
      </c>
      <c r="V223" s="214" t="s">
        <v>995</v>
      </c>
      <c r="W223" s="214" t="s">
        <v>849</v>
      </c>
      <c r="X223" s="214" t="s">
        <v>784</v>
      </c>
      <c r="Y223" s="331"/>
      <c r="Z223" s="223"/>
      <c r="AA223" s="212" t="s">
        <v>1167</v>
      </c>
      <c r="AB223" s="225">
        <v>42927</v>
      </c>
      <c r="AC223" s="226" t="s">
        <v>1288</v>
      </c>
      <c r="AD223" s="214" t="str">
        <f ca="1">IFERROR(OFFSET(DistanceToCamp[Nearest Town],MATCH(CampList[[#This Row],[CP_Pcode]],DistanceToCamp[CP_Pcode],0)-1,0,1,1),"")</f>
        <v>Dawthponeyan  Town</v>
      </c>
      <c r="AE223" s="227">
        <f ca="1">IFERROR(OFFSET(DistanceToCamp[distance],MATCH(CampList[[#This Row],[CP_Pcode]],DistanceToCamp[CP_Pcode],0)-1,0,1,1),"")</f>
        <v>0</v>
      </c>
      <c r="AF223" s="228">
        <f ca="1">IFERROR(INT(CampList[[#This Row],[Distance]]/5)+1,"")</f>
        <v>1</v>
      </c>
      <c r="AH223" s="640"/>
      <c r="AI223" s="640"/>
    </row>
    <row r="224" spans="2:35" s="199" customFormat="1" ht="15.75" customHeight="1" x14ac:dyDescent="0.3">
      <c r="B224" s="218" t="s">
        <v>460</v>
      </c>
      <c r="C224" s="212" t="s">
        <v>506</v>
      </c>
      <c r="D224" s="212" t="s">
        <v>489</v>
      </c>
      <c r="E224" s="212" t="s">
        <v>230</v>
      </c>
      <c r="F224" s="212" t="s">
        <v>490</v>
      </c>
      <c r="G224" s="212" t="s">
        <v>146</v>
      </c>
      <c r="H224" s="212" t="s">
        <v>497</v>
      </c>
      <c r="I224" s="212" t="s">
        <v>725</v>
      </c>
      <c r="J224" s="212" t="s">
        <v>726</v>
      </c>
      <c r="K224" s="230" t="s">
        <v>727</v>
      </c>
      <c r="L224" s="213">
        <v>219842</v>
      </c>
      <c r="M224" s="212" t="s">
        <v>369</v>
      </c>
      <c r="N224" s="212" t="s">
        <v>147</v>
      </c>
      <c r="O224" s="219">
        <v>98.220614999999995</v>
      </c>
      <c r="P224" s="219">
        <v>23.400155999999999</v>
      </c>
      <c r="Q224" s="220">
        <v>3109</v>
      </c>
      <c r="R224" s="292">
        <v>42</v>
      </c>
      <c r="S224" s="292">
        <v>234</v>
      </c>
      <c r="T224" s="222">
        <f>IF(CampList[[#This Row],[HH]]&gt;0,CampList[[#This Row],[Total]]/CampList[[#This Row],[HH]],"NA")</f>
        <v>5.5714285714285712</v>
      </c>
      <c r="U224" s="214" t="s">
        <v>464</v>
      </c>
      <c r="V224" s="214" t="s">
        <v>995</v>
      </c>
      <c r="W224" s="214" t="s">
        <v>507</v>
      </c>
      <c r="X224" s="214" t="s">
        <v>784</v>
      </c>
      <c r="Y224" s="223">
        <v>40787</v>
      </c>
      <c r="Z224" s="223" t="s">
        <v>424</v>
      </c>
      <c r="AA224" s="239" t="s">
        <v>774</v>
      </c>
      <c r="AB224" s="225">
        <v>43235</v>
      </c>
      <c r="AC224" s="218" t="s">
        <v>1783</v>
      </c>
      <c r="AD224" s="214" t="str">
        <f ca="1">IFERROR(OFFSET(DistanceToCamp[Nearest Town],MATCH(CampList[[#This Row],[CP_Pcode]],DistanceToCamp[CP_Pcode],0)-1,0,1,1),"")</f>
        <v>Tarmoenye Town</v>
      </c>
      <c r="AE224" s="227">
        <f ca="1">IFERROR(OFFSET(DistanceToCamp[distance],MATCH(CampList[[#This Row],[CP_Pcode]],DistanceToCamp[CP_Pcode],0)-1,0,1,1),"")</f>
        <v>23.172399462804503</v>
      </c>
      <c r="AF224" s="228">
        <f ca="1">IFERROR(INT(CampList[[#This Row],[Distance]]/5)+1,"")</f>
        <v>5</v>
      </c>
      <c r="AH224" s="640"/>
      <c r="AI224" s="640"/>
    </row>
    <row r="225" spans="2:35" s="199" customFormat="1" ht="15.75" hidden="1" customHeight="1" x14ac:dyDescent="0.3">
      <c r="B225" s="218" t="s">
        <v>775</v>
      </c>
      <c r="C225" s="212" t="s">
        <v>378</v>
      </c>
      <c r="D225" s="212" t="s">
        <v>478</v>
      </c>
      <c r="E225" s="212" t="s">
        <v>5</v>
      </c>
      <c r="F225" s="212" t="s">
        <v>482</v>
      </c>
      <c r="G225" s="212" t="s">
        <v>151</v>
      </c>
      <c r="H225" s="212" t="s">
        <v>492</v>
      </c>
      <c r="I225" s="212" t="s">
        <v>566</v>
      </c>
      <c r="J225" s="212" t="s">
        <v>567</v>
      </c>
      <c r="K225" s="212" t="s">
        <v>566</v>
      </c>
      <c r="L225" s="212">
        <v>167495</v>
      </c>
      <c r="M225" s="212" t="s">
        <v>295</v>
      </c>
      <c r="N225" s="212" t="s">
        <v>1133</v>
      </c>
      <c r="O225" s="219">
        <v>97.174999999999997</v>
      </c>
      <c r="P225" s="219">
        <v>23.867000000000001</v>
      </c>
      <c r="Q225" s="233"/>
      <c r="R225" s="302"/>
      <c r="S225" s="303"/>
      <c r="T225" s="222" t="str">
        <f>IF(CampList[[#This Row],[HH]]&gt;0,CampList[[#This Row],[Total]]/CampList[[#This Row],[HH]],"NA")</f>
        <v>NA</v>
      </c>
      <c r="U225" s="214" t="s">
        <v>466</v>
      </c>
      <c r="V225" s="214" t="s">
        <v>995</v>
      </c>
      <c r="W225" s="214" t="s">
        <v>507</v>
      </c>
      <c r="X225" s="214"/>
      <c r="Y225" s="234"/>
      <c r="Z225" s="224"/>
      <c r="AA225" s="239"/>
      <c r="AB225" s="225">
        <v>41701</v>
      </c>
      <c r="AC225" s="218" t="s">
        <v>869</v>
      </c>
      <c r="AD225" s="214" t="str">
        <f ca="1">IFERROR(OFFSET(DistanceToCamp[Nearest Town],MATCH(CampList[[#This Row],[CP_Pcode]],DistanceToCamp[CP_Pcode],0)-1,0,1,1),"")</f>
        <v/>
      </c>
      <c r="AE225" s="227" t="str">
        <f ca="1">IFERROR(OFFSET(DistanceToCamp[distance],MATCH(CampList[[#This Row],[CP_Pcode]],DistanceToCamp[CP_Pcode],0)-1,0,1,1),"")</f>
        <v/>
      </c>
      <c r="AF225" s="228" t="str">
        <f ca="1">IFERROR(INT(CampList[[#This Row],[Distance]]/5)+1,"")</f>
        <v/>
      </c>
      <c r="AH225" s="640"/>
      <c r="AI225" s="640"/>
    </row>
    <row r="226" spans="2:35" s="199" customFormat="1" ht="15.75" customHeight="1" x14ac:dyDescent="0.3">
      <c r="B226" s="218" t="s">
        <v>460</v>
      </c>
      <c r="C226" s="212" t="s">
        <v>506</v>
      </c>
      <c r="D226" s="212" t="s">
        <v>489</v>
      </c>
      <c r="E226" s="212" t="s">
        <v>230</v>
      </c>
      <c r="F226" s="212" t="s">
        <v>490</v>
      </c>
      <c r="G226" s="212" t="s">
        <v>146</v>
      </c>
      <c r="H226" s="212" t="s">
        <v>497</v>
      </c>
      <c r="I226" s="240" t="s">
        <v>663</v>
      </c>
      <c r="J226" s="212" t="s">
        <v>1041</v>
      </c>
      <c r="K226" s="240" t="s">
        <v>664</v>
      </c>
      <c r="L226" s="253">
        <v>208696</v>
      </c>
      <c r="M226" s="212" t="s">
        <v>149</v>
      </c>
      <c r="N226" s="212" t="s">
        <v>148</v>
      </c>
      <c r="O226" s="219">
        <v>97.818979999999996</v>
      </c>
      <c r="P226" s="219">
        <v>23.694130000000001</v>
      </c>
      <c r="Q226" s="220">
        <v>1135.7</v>
      </c>
      <c r="R226" s="292">
        <v>58</v>
      </c>
      <c r="S226" s="292">
        <v>273</v>
      </c>
      <c r="T226" s="222">
        <f>IF(CampList[[#This Row],[HH]]&gt;0,CampList[[#This Row],[Total]]/CampList[[#This Row],[HH]],"NA")</f>
        <v>4.7068965517241379</v>
      </c>
      <c r="U226" s="214" t="s">
        <v>464</v>
      </c>
      <c r="V226" s="214" t="s">
        <v>995</v>
      </c>
      <c r="W226" s="214" t="s">
        <v>507</v>
      </c>
      <c r="X226" s="214" t="s">
        <v>784</v>
      </c>
      <c r="Y226" s="223">
        <v>40878</v>
      </c>
      <c r="Z226" s="223" t="s">
        <v>424</v>
      </c>
      <c r="AA226" s="239" t="s">
        <v>774</v>
      </c>
      <c r="AB226" s="225">
        <v>43235</v>
      </c>
      <c r="AC226" s="218" t="s">
        <v>1784</v>
      </c>
      <c r="AD226" s="214" t="str">
        <f ca="1">IFERROR(OFFSET(DistanceToCamp[Nearest Town],MATCH(CampList[[#This Row],[CP_Pcode]],DistanceToCamp[CP_Pcode],0)-1,0,1,1),"")</f>
        <v>Namhkan Town</v>
      </c>
      <c r="AE226" s="227">
        <f ca="1">IFERROR(OFFSET(DistanceToCamp[distance],MATCH(CampList[[#This Row],[CP_Pcode]],DistanceToCamp[CP_Pcode],0)-1,0,1,1),"")</f>
        <v>21.148671772283631</v>
      </c>
      <c r="AF226" s="228">
        <f ca="1">IFERROR(INT(CampList[[#This Row],[Distance]]/5)+1,"")</f>
        <v>5</v>
      </c>
      <c r="AH226" s="640"/>
      <c r="AI226" s="640"/>
    </row>
    <row r="227" spans="2:35" s="199" customFormat="1" ht="15.75" hidden="1" customHeight="1" x14ac:dyDescent="0.3">
      <c r="B227" s="231" t="s">
        <v>775</v>
      </c>
      <c r="C227" s="212" t="s">
        <v>378</v>
      </c>
      <c r="D227" s="212" t="s">
        <v>478</v>
      </c>
      <c r="E227" s="213" t="s">
        <v>237</v>
      </c>
      <c r="F227" s="213" t="s">
        <v>484</v>
      </c>
      <c r="G227" s="213" t="s">
        <v>480</v>
      </c>
      <c r="H227" s="213" t="s">
        <v>1136</v>
      </c>
      <c r="I227" s="213" t="s">
        <v>1153</v>
      </c>
      <c r="J227" s="232" t="s">
        <v>1154</v>
      </c>
      <c r="K227" s="212" t="s">
        <v>1153</v>
      </c>
      <c r="L227" s="232">
        <v>166818</v>
      </c>
      <c r="M227" s="213" t="s">
        <v>1134</v>
      </c>
      <c r="N227" s="212" t="s">
        <v>1135</v>
      </c>
      <c r="O227" s="221">
        <v>96.637</v>
      </c>
      <c r="P227" s="221">
        <v>25.806999999999999</v>
      </c>
      <c r="Q227" s="233"/>
      <c r="R227" s="220"/>
      <c r="S227" s="233"/>
      <c r="T227" s="222" t="str">
        <f>IF(CampList[[#This Row],[HH]]&gt;0,CampList[[#This Row],[Total]]/CampList[[#This Row],[HH]],"NA")</f>
        <v>NA</v>
      </c>
      <c r="U227" s="214" t="s">
        <v>464</v>
      </c>
      <c r="V227" s="214" t="s">
        <v>995</v>
      </c>
      <c r="W227" s="214" t="s">
        <v>507</v>
      </c>
      <c r="X227" s="214" t="s">
        <v>784</v>
      </c>
      <c r="Y227" s="332">
        <v>42370</v>
      </c>
      <c r="Z227" s="223"/>
      <c r="AA227" s="212" t="s">
        <v>774</v>
      </c>
      <c r="AB227" s="225">
        <v>42927</v>
      </c>
      <c r="AC227" s="218" t="s">
        <v>1293</v>
      </c>
      <c r="AD227" s="214" t="str">
        <f ca="1">IFERROR(OFFSET(DistanceToCamp[Nearest Town],MATCH(CampList[[#This Row],[CP_Pcode]],DistanceToCamp[CP_Pcode],0)-1,0,1,1),"")</f>
        <v>Hpakant Town</v>
      </c>
      <c r="AE227" s="227">
        <f ca="1">IFERROR(OFFSET(DistanceToCamp[distance],MATCH(CampList[[#This Row],[CP_Pcode]],DistanceToCamp[CP_Pcode],0)-1,0,1,1),"")</f>
        <v>0</v>
      </c>
      <c r="AF227" s="228">
        <f ca="1">IFERROR(INT(CampList[[#This Row],[Distance]]/5)+1,"")</f>
        <v>1</v>
      </c>
      <c r="AH227" s="640"/>
      <c r="AI227" s="640"/>
    </row>
    <row r="228" spans="2:35" s="199" customFormat="1" ht="15.75" customHeight="1" x14ac:dyDescent="0.3">
      <c r="B228" s="218" t="s">
        <v>460</v>
      </c>
      <c r="C228" s="212" t="s">
        <v>506</v>
      </c>
      <c r="D228" s="212" t="s">
        <v>489</v>
      </c>
      <c r="E228" s="212" t="s">
        <v>494</v>
      </c>
      <c r="F228" s="212" t="s">
        <v>495</v>
      </c>
      <c r="G228" s="212" t="s">
        <v>166</v>
      </c>
      <c r="H228" s="212" t="s">
        <v>496</v>
      </c>
      <c r="I228" s="240" t="s">
        <v>742</v>
      </c>
      <c r="J228" s="254" t="s">
        <v>963</v>
      </c>
      <c r="K228" s="213" t="s">
        <v>656</v>
      </c>
      <c r="L228" s="213" t="s">
        <v>1103</v>
      </c>
      <c r="M228" s="212" t="s">
        <v>167</v>
      </c>
      <c r="N228" s="212" t="s">
        <v>165</v>
      </c>
      <c r="O228" s="219">
        <v>97.124403000000001</v>
      </c>
      <c r="P228" s="219">
        <v>23.250678000000001</v>
      </c>
      <c r="Q228" s="220">
        <v>1250</v>
      </c>
      <c r="R228" s="292">
        <v>33</v>
      </c>
      <c r="S228" s="292">
        <v>182</v>
      </c>
      <c r="T228" s="222">
        <f>IF(CampList[[#This Row],[HH]]&gt;0,CampList[[#This Row],[Total]]/CampList[[#This Row],[HH]],"NA")</f>
        <v>5.5151515151515156</v>
      </c>
      <c r="U228" s="214" t="s">
        <v>464</v>
      </c>
      <c r="V228" s="214" t="s">
        <v>995</v>
      </c>
      <c r="W228" s="214" t="s">
        <v>507</v>
      </c>
      <c r="X228" s="214" t="s">
        <v>742</v>
      </c>
      <c r="Y228" s="223">
        <v>41000</v>
      </c>
      <c r="Z228" s="223" t="s">
        <v>424</v>
      </c>
      <c r="AA228" s="239" t="s">
        <v>774</v>
      </c>
      <c r="AB228" s="225">
        <v>43235</v>
      </c>
      <c r="AC228" s="218" t="s">
        <v>1785</v>
      </c>
      <c r="AD228" s="214" t="str">
        <f ca="1">IFERROR(OFFSET(DistanceToCamp[Nearest Town],MATCH(CampList[[#This Row],[CP_Pcode]],DistanceToCamp[CP_Pcode],0)-1,0,1,1),"")</f>
        <v>Manton Town</v>
      </c>
      <c r="AE228" s="227">
        <f ca="1">IFERROR(OFFSET(DistanceToCamp[distance],MATCH(CampList[[#This Row],[CP_Pcode]],DistanceToCamp[CP_Pcode],0)-1,0,1,1),"")</f>
        <v>0.43878855438285824</v>
      </c>
      <c r="AF228" s="228">
        <f ca="1">IFERROR(INT(CampList[[#This Row],[Distance]]/5)+1,"")</f>
        <v>1</v>
      </c>
      <c r="AH228" s="640"/>
      <c r="AI228" s="640"/>
    </row>
    <row r="229" spans="2:35" s="199" customFormat="1" ht="15.75" hidden="1" customHeight="1" x14ac:dyDescent="0.3">
      <c r="B229" s="218" t="s">
        <v>775</v>
      </c>
      <c r="C229" s="212" t="s">
        <v>506</v>
      </c>
      <c r="D229" s="212" t="s">
        <v>489</v>
      </c>
      <c r="E229" s="212" t="s">
        <v>230</v>
      </c>
      <c r="F229" s="212" t="s">
        <v>490</v>
      </c>
      <c r="G229" s="212" t="s">
        <v>230</v>
      </c>
      <c r="H229" s="212" t="s">
        <v>491</v>
      </c>
      <c r="I229" s="212" t="s">
        <v>881</v>
      </c>
      <c r="J229" s="212" t="s">
        <v>880</v>
      </c>
      <c r="K229" s="212" t="s">
        <v>882</v>
      </c>
      <c r="L229" s="232">
        <v>208182</v>
      </c>
      <c r="M229" s="212" t="s">
        <v>359</v>
      </c>
      <c r="N229" s="212" t="s">
        <v>771</v>
      </c>
      <c r="O229" s="219">
        <v>98.139397000000002</v>
      </c>
      <c r="P229" s="219">
        <v>23.933098999999999</v>
      </c>
      <c r="Q229" s="220">
        <v>0</v>
      </c>
      <c r="R229" s="329">
        <v>9</v>
      </c>
      <c r="S229" s="330">
        <v>44</v>
      </c>
      <c r="T229" s="222">
        <f>IF(CampList[[#This Row],[HH]]&gt;0,CampList[[#This Row],[Total]]/CampList[[#This Row],[HH]],"NA")</f>
        <v>4.8888888888888893</v>
      </c>
      <c r="U229" s="214" t="s">
        <v>466</v>
      </c>
      <c r="V229" s="214" t="s">
        <v>995</v>
      </c>
      <c r="W229" s="214" t="s">
        <v>1391</v>
      </c>
      <c r="X229" s="214" t="s">
        <v>784</v>
      </c>
      <c r="Y229" s="223">
        <v>40787</v>
      </c>
      <c r="Z229" s="223"/>
      <c r="AA229" s="239" t="s">
        <v>774</v>
      </c>
      <c r="AB229" s="225">
        <v>42888</v>
      </c>
      <c r="AC229" s="218" t="s">
        <v>1545</v>
      </c>
      <c r="AD229" s="214" t="str">
        <f ca="1">IFERROR(OFFSET(DistanceToCamp[Nearest Town],MATCH(CampList[[#This Row],[CP_Pcode]],DistanceToCamp[CP_Pcode],0)-1,0,1,1),"")</f>
        <v/>
      </c>
      <c r="AE229" s="227" t="str">
        <f ca="1">IFERROR(OFFSET(DistanceToCamp[distance],MATCH(CampList[[#This Row],[CP_Pcode]],DistanceToCamp[CP_Pcode],0)-1,0,1,1),"")</f>
        <v/>
      </c>
      <c r="AF229" s="228" t="str">
        <f ca="1">IFERROR(INT(CampList[[#This Row],[Distance]]/5)+1,"")</f>
        <v/>
      </c>
      <c r="AH229" s="640"/>
      <c r="AI229" s="640"/>
    </row>
    <row r="230" spans="2:35" s="199" customFormat="1" ht="15.75" customHeight="1" x14ac:dyDescent="0.3">
      <c r="B230" s="218" t="s">
        <v>460</v>
      </c>
      <c r="C230" s="212" t="s">
        <v>506</v>
      </c>
      <c r="D230" s="212" t="s">
        <v>489</v>
      </c>
      <c r="E230" s="212" t="s">
        <v>494</v>
      </c>
      <c r="F230" s="212" t="s">
        <v>495</v>
      </c>
      <c r="G230" s="212" t="s">
        <v>297</v>
      </c>
      <c r="H230" s="212" t="s">
        <v>503</v>
      </c>
      <c r="I230" s="240" t="s">
        <v>755</v>
      </c>
      <c r="J230" s="212" t="s">
        <v>756</v>
      </c>
      <c r="K230" s="240" t="s">
        <v>757</v>
      </c>
      <c r="L230" s="240" t="s">
        <v>758</v>
      </c>
      <c r="M230" s="212" t="s">
        <v>759</v>
      </c>
      <c r="N230" s="212" t="s">
        <v>296</v>
      </c>
      <c r="O230" s="219">
        <v>97.404089999999997</v>
      </c>
      <c r="P230" s="219">
        <v>23.094290000000001</v>
      </c>
      <c r="Q230" s="220">
        <v>534.29999999999995</v>
      </c>
      <c r="R230" s="292">
        <v>41</v>
      </c>
      <c r="S230" s="292">
        <v>179</v>
      </c>
      <c r="T230" s="222">
        <f>IF(CampList[[#This Row],[HH]]&gt;0,CampList[[#This Row],[Total]]/CampList[[#This Row],[HH]],"NA")</f>
        <v>4.3658536585365857</v>
      </c>
      <c r="U230" s="214" t="s">
        <v>464</v>
      </c>
      <c r="V230" s="214" t="s">
        <v>995</v>
      </c>
      <c r="W230" s="214" t="s">
        <v>507</v>
      </c>
      <c r="X230" s="214" t="s">
        <v>742</v>
      </c>
      <c r="Y230" s="223">
        <v>41000</v>
      </c>
      <c r="Z230" s="223" t="s">
        <v>424</v>
      </c>
      <c r="AA230" s="239" t="s">
        <v>774</v>
      </c>
      <c r="AB230" s="225">
        <v>43235</v>
      </c>
      <c r="AC230" s="218" t="s">
        <v>1786</v>
      </c>
      <c r="AD230" s="214" t="str">
        <f ca="1">IFERROR(OFFSET(DistanceToCamp[Nearest Town],MATCH(CampList[[#This Row],[CP_Pcode]],DistanceToCamp[CP_Pcode],0)-1,0,1,1),"")</f>
        <v>Namtu Town</v>
      </c>
      <c r="AE230" s="227">
        <f ca="1">IFERROR(OFFSET(DistanceToCamp[distance],MATCH(CampList[[#This Row],[CP_Pcode]],DistanceToCamp[CP_Pcode],0)-1,0,1,1),"")</f>
        <v>0.37588352961435612</v>
      </c>
      <c r="AF230" s="228">
        <f ca="1">IFERROR(INT(CampList[[#This Row],[Distance]]/5)+1,"")</f>
        <v>1</v>
      </c>
      <c r="AH230" s="640"/>
      <c r="AI230" s="640"/>
    </row>
    <row r="231" spans="2:35" s="199" customFormat="1" ht="15.75" customHeight="1" x14ac:dyDescent="0.3">
      <c r="B231" s="218" t="s">
        <v>460</v>
      </c>
      <c r="C231" s="212" t="s">
        <v>506</v>
      </c>
      <c r="D231" s="212" t="s">
        <v>489</v>
      </c>
      <c r="E231" s="212" t="s">
        <v>717</v>
      </c>
      <c r="F231" s="212" t="s">
        <v>718</v>
      </c>
      <c r="G231" s="212" t="s">
        <v>719</v>
      </c>
      <c r="H231" s="212" t="s">
        <v>720</v>
      </c>
      <c r="I231" s="212" t="s">
        <v>721</v>
      </c>
      <c r="J231" s="212" t="s">
        <v>722</v>
      </c>
      <c r="K231" s="212" t="s">
        <v>721</v>
      </c>
      <c r="L231" s="212">
        <v>206422</v>
      </c>
      <c r="M231" s="212" t="s">
        <v>535</v>
      </c>
      <c r="N231" s="212" t="s">
        <v>772</v>
      </c>
      <c r="O231" s="219">
        <v>98.352670000000003</v>
      </c>
      <c r="P231" s="219">
        <v>23.372409999999999</v>
      </c>
      <c r="Q231" s="220">
        <v>617.6</v>
      </c>
      <c r="R231" s="220">
        <v>67</v>
      </c>
      <c r="S231" s="233">
        <v>392</v>
      </c>
      <c r="T231" s="222">
        <f>IF(CampList[[#This Row],[HH]]&gt;0,CampList[[#This Row],[Total]]/CampList[[#This Row],[HH]],"NA")</f>
        <v>5.8507462686567164</v>
      </c>
      <c r="U231" s="214" t="s">
        <v>466</v>
      </c>
      <c r="V231" s="214" t="s">
        <v>995</v>
      </c>
      <c r="W231" s="214" t="s">
        <v>12</v>
      </c>
      <c r="X231" s="214" t="s">
        <v>784</v>
      </c>
      <c r="Y231" s="223">
        <v>41365</v>
      </c>
      <c r="Z231" s="223" t="s">
        <v>1322</v>
      </c>
      <c r="AA231" s="212" t="s">
        <v>774</v>
      </c>
      <c r="AB231" s="225">
        <v>41699</v>
      </c>
      <c r="AC231" s="226" t="s">
        <v>1553</v>
      </c>
      <c r="AD231" s="214" t="str">
        <f ca="1">IFERROR(OFFSET(DistanceToCamp[Nearest Town],MATCH(CampList[[#This Row],[CP_Pcode]],DistanceToCamp[CP_Pcode],0)-1,0,1,1),"")</f>
        <v>Kunlong Town</v>
      </c>
      <c r="AE231" s="227">
        <f ca="1">IFERROR(OFFSET(DistanceToCamp[distance],MATCH(CampList[[#This Row],[CP_Pcode]],DistanceToCamp[CP_Pcode],0)-1,0,1,1),"")</f>
        <v>30.037709702375544</v>
      </c>
      <c r="AF231" s="228">
        <f ca="1">IFERROR(INT(CampList[[#This Row],[Distance]]/5)+1,"")</f>
        <v>7</v>
      </c>
      <c r="AH231" s="640"/>
      <c r="AI231" s="640"/>
    </row>
    <row r="232" spans="2:35" s="199" customFormat="1" ht="15.75" hidden="1" customHeight="1" x14ac:dyDescent="0.3">
      <c r="B232" s="218" t="s">
        <v>775</v>
      </c>
      <c r="C232" s="212" t="s">
        <v>378</v>
      </c>
      <c r="D232" s="212" t="s">
        <v>478</v>
      </c>
      <c r="E232" s="212" t="s">
        <v>180</v>
      </c>
      <c r="F232" s="212" t="s">
        <v>479</v>
      </c>
      <c r="G232" s="212" t="s">
        <v>480</v>
      </c>
      <c r="H232" s="212" t="s">
        <v>481</v>
      </c>
      <c r="I232" s="213" t="s">
        <v>1153</v>
      </c>
      <c r="J232" s="232" t="s">
        <v>1154</v>
      </c>
      <c r="K232" s="213" t="s">
        <v>1160</v>
      </c>
      <c r="L232" s="213">
        <v>166819</v>
      </c>
      <c r="M232" s="185" t="s">
        <v>1155</v>
      </c>
      <c r="N232" s="213" t="s">
        <v>1161</v>
      </c>
      <c r="O232" s="258">
        <v>96.662092000000001</v>
      </c>
      <c r="P232" s="258">
        <v>25.920006000000001</v>
      </c>
      <c r="Q232" s="233"/>
      <c r="R232" s="197"/>
      <c r="S232" s="241"/>
      <c r="T232" s="222" t="str">
        <f>IF(CampList[[#This Row],[HH]]&gt;0,CampList[[#This Row],[Total]]/CampList[[#This Row],[HH]],"NA")</f>
        <v>NA</v>
      </c>
      <c r="U232" s="197" t="s">
        <v>464</v>
      </c>
      <c r="V232" s="214" t="s">
        <v>995</v>
      </c>
      <c r="W232" s="197" t="s">
        <v>507</v>
      </c>
      <c r="X232" s="197" t="s">
        <v>784</v>
      </c>
      <c r="Y232" s="234">
        <v>42584</v>
      </c>
      <c r="Z232" s="233"/>
      <c r="AA232" s="213" t="s">
        <v>774</v>
      </c>
      <c r="AB232" s="225">
        <v>42849</v>
      </c>
      <c r="AC232" s="235" t="s">
        <v>1234</v>
      </c>
      <c r="AD232" s="236" t="str">
        <f ca="1">IFERROR(OFFSET(DistanceToCamp[Nearest Town],MATCH(CampList[[#This Row],[CP_Pcode]],DistanceToCamp[CP_Pcode],0)-1,0,1,1),"")</f>
        <v>Hpakant Town</v>
      </c>
      <c r="AE232" s="227">
        <f ca="1">IFERROR(OFFSET(DistanceToCamp[distance],MATCH(CampList[[#This Row],[CP_Pcode]],DistanceToCamp[CP_Pcode],0)-1,0,1,1),"")</f>
        <v>0</v>
      </c>
      <c r="AF232" s="237">
        <f ca="1">IFERROR(INT(CampList[[#This Row],[Distance]]/5)+1,"")</f>
        <v>1</v>
      </c>
      <c r="AH232" s="640"/>
      <c r="AI232" s="640"/>
    </row>
    <row r="233" spans="2:35" s="199" customFormat="1" ht="16.2" customHeight="1" x14ac:dyDescent="0.3">
      <c r="B233" s="231" t="s">
        <v>460</v>
      </c>
      <c r="C233" s="213" t="s">
        <v>506</v>
      </c>
      <c r="D233" s="213" t="s">
        <v>489</v>
      </c>
      <c r="E233" s="213" t="s">
        <v>494</v>
      </c>
      <c r="F233" s="213" t="s">
        <v>495</v>
      </c>
      <c r="G233" s="213" t="s">
        <v>166</v>
      </c>
      <c r="H233" s="213" t="s">
        <v>496</v>
      </c>
      <c r="I233" s="213" t="s">
        <v>742</v>
      </c>
      <c r="J233" s="232" t="s">
        <v>963</v>
      </c>
      <c r="K233" s="213" t="s">
        <v>656</v>
      </c>
      <c r="L233" s="213" t="s">
        <v>1103</v>
      </c>
      <c r="M233" s="213" t="s">
        <v>760</v>
      </c>
      <c r="N233" s="213" t="s">
        <v>761</v>
      </c>
      <c r="O233" s="221">
        <v>97.116680000000002</v>
      </c>
      <c r="P233" s="221">
        <v>23.24661</v>
      </c>
      <c r="Q233" s="233">
        <v>87.3</v>
      </c>
      <c r="R233" s="221">
        <v>29</v>
      </c>
      <c r="S233" s="233">
        <v>171</v>
      </c>
      <c r="T233" s="222">
        <f>IF(CampList[[#This Row],[HH]]&gt;0,CampList[[#This Row],[Total]]/CampList[[#This Row],[HH]],"NA")</f>
        <v>5.8965517241379306</v>
      </c>
      <c r="U233" s="197" t="s">
        <v>464</v>
      </c>
      <c r="V233" s="214" t="s">
        <v>995</v>
      </c>
      <c r="W233" s="197" t="s">
        <v>507</v>
      </c>
      <c r="X233" s="197" t="s">
        <v>742</v>
      </c>
      <c r="Y233" s="234">
        <v>41030</v>
      </c>
      <c r="Z233" s="233" t="s">
        <v>1048</v>
      </c>
      <c r="AA233" s="213" t="s">
        <v>774</v>
      </c>
      <c r="AB233" s="557">
        <v>43230</v>
      </c>
      <c r="AC233" s="235" t="s">
        <v>1728</v>
      </c>
      <c r="AD233" s="236" t="str">
        <f ca="1">IFERROR(OFFSET(DistanceToCamp[Nearest Town],MATCH(CampList[[#This Row],[CP_Pcode]],DistanceToCamp[CP_Pcode],0)-1,0,1,1),"")</f>
        <v>Manton Town</v>
      </c>
      <c r="AE233" s="227">
        <f ca="1">IFERROR(OFFSET(DistanceToCamp[distance],MATCH(CampList[[#This Row],[CP_Pcode]],DistanceToCamp[CP_Pcode],0)-1,0,1,1),"")</f>
        <v>0.71762888500316424</v>
      </c>
      <c r="AF233" s="237">
        <f ca="1">IFERROR(INT(CampList[[#This Row],[Distance]]/5)+1,"")</f>
        <v>1</v>
      </c>
      <c r="AH233" s="640"/>
      <c r="AI233" s="640"/>
    </row>
    <row r="234" spans="2:35" s="199" customFormat="1" ht="23.4" hidden="1" customHeight="1" x14ac:dyDescent="0.3">
      <c r="B234" s="218" t="s">
        <v>775</v>
      </c>
      <c r="C234" s="212" t="s">
        <v>506</v>
      </c>
      <c r="D234" s="212" t="s">
        <v>489</v>
      </c>
      <c r="E234" s="212" t="s">
        <v>494</v>
      </c>
      <c r="F234" s="212" t="s">
        <v>495</v>
      </c>
      <c r="G234" s="212" t="s">
        <v>297</v>
      </c>
      <c r="H234" s="212" t="s">
        <v>503</v>
      </c>
      <c r="I234" s="240" t="s">
        <v>755</v>
      </c>
      <c r="J234" s="212" t="s">
        <v>756</v>
      </c>
      <c r="K234" s="240" t="s">
        <v>757</v>
      </c>
      <c r="L234" s="240" t="s">
        <v>758</v>
      </c>
      <c r="M234" s="212" t="s">
        <v>534</v>
      </c>
      <c r="N234" s="212" t="s">
        <v>762</v>
      </c>
      <c r="O234" s="219">
        <v>97.398989</v>
      </c>
      <c r="P234" s="219">
        <v>23.088058</v>
      </c>
      <c r="Q234" s="220">
        <v>1948</v>
      </c>
      <c r="R234" s="329">
        <v>118</v>
      </c>
      <c r="S234" s="330">
        <v>520</v>
      </c>
      <c r="T234" s="222">
        <f>IF(CampList[[#This Row],[HH]]&gt;0,CampList[[#This Row],[Total]]/CampList[[#This Row],[HH]],"NA")</f>
        <v>4.406779661016949</v>
      </c>
      <c r="U234" s="214" t="s">
        <v>464</v>
      </c>
      <c r="V234" s="214" t="s">
        <v>995</v>
      </c>
      <c r="W234" s="214" t="s">
        <v>12</v>
      </c>
      <c r="X234" s="214" t="s">
        <v>742</v>
      </c>
      <c r="Y234" s="223"/>
      <c r="Z234" s="223"/>
      <c r="AA234" s="239" t="s">
        <v>774</v>
      </c>
      <c r="AB234" s="225">
        <v>41883</v>
      </c>
      <c r="AC234" s="218" t="s">
        <v>1398</v>
      </c>
      <c r="AD234" s="214" t="str">
        <f ca="1">IFERROR(OFFSET(DistanceToCamp[Nearest Town],MATCH(CampList[[#This Row],[CP_Pcode]],DistanceToCamp[CP_Pcode],0)-1,0,1,1),"")</f>
        <v>Namtu Town</v>
      </c>
      <c r="AE234" s="227">
        <f ca="1">IFERROR(OFFSET(DistanceToCamp[distance],MATCH(CampList[[#This Row],[CP_Pcode]],DistanceToCamp[CP_Pcode],0)-1,0,1,1),"")</f>
        <v>0.63626694856259092</v>
      </c>
      <c r="AF234" s="228">
        <f ca="1">IFERROR(INT(CampList[[#This Row],[Distance]]/5)+1,"")</f>
        <v>1</v>
      </c>
      <c r="AH234" s="640"/>
      <c r="AI234" s="640"/>
    </row>
    <row r="235" spans="2:35" s="199" customFormat="1" ht="15.75" hidden="1" customHeight="1" x14ac:dyDescent="0.3">
      <c r="B235" s="218" t="s">
        <v>775</v>
      </c>
      <c r="C235" s="212" t="s">
        <v>506</v>
      </c>
      <c r="D235" s="212" t="s">
        <v>489</v>
      </c>
      <c r="E235" s="212" t="s">
        <v>230</v>
      </c>
      <c r="F235" s="212" t="s">
        <v>490</v>
      </c>
      <c r="G235" s="212" t="s">
        <v>146</v>
      </c>
      <c r="H235" s="212" t="s">
        <v>497</v>
      </c>
      <c r="I235" s="212" t="s">
        <v>836</v>
      </c>
      <c r="J235" s="212"/>
      <c r="K235" s="212" t="s">
        <v>836</v>
      </c>
      <c r="L235" s="212"/>
      <c r="M235" s="212" t="s">
        <v>837</v>
      </c>
      <c r="N235" s="212" t="s">
        <v>838</v>
      </c>
      <c r="O235" s="221"/>
      <c r="P235" s="221"/>
      <c r="Q235" s="233"/>
      <c r="R235" s="302">
        <v>0</v>
      </c>
      <c r="S235" s="303">
        <v>0</v>
      </c>
      <c r="T235" s="222" t="str">
        <f>IF(CampList[[#This Row],[HH]]&gt;0,CampList[[#This Row],[Total]]/CampList[[#This Row],[HH]],"NA")</f>
        <v>NA</v>
      </c>
      <c r="U235" s="214" t="s">
        <v>466</v>
      </c>
      <c r="V235" s="214" t="s">
        <v>995</v>
      </c>
      <c r="W235" s="214" t="s">
        <v>507</v>
      </c>
      <c r="X235" s="214" t="s">
        <v>784</v>
      </c>
      <c r="Y235" s="234"/>
      <c r="Z235" s="224"/>
      <c r="AA235" s="212" t="s">
        <v>774</v>
      </c>
      <c r="AB235" s="225">
        <v>41289</v>
      </c>
      <c r="AC235" s="226" t="s">
        <v>841</v>
      </c>
      <c r="AD235" s="214" t="str">
        <f ca="1">IFERROR(OFFSET(DistanceToCamp[Nearest Town],MATCH(CampList[[#This Row],[CP_Pcode]],DistanceToCamp[CP_Pcode],0)-1,0,1,1),"")</f>
        <v/>
      </c>
      <c r="AE235" s="227" t="str">
        <f ca="1">IFERROR(OFFSET(DistanceToCamp[distance],MATCH(CampList[[#This Row],[CP_Pcode]],DistanceToCamp[CP_Pcode],0)-1,0,1,1),"")</f>
        <v/>
      </c>
      <c r="AF235" s="228" t="str">
        <f ca="1">IFERROR(INT(CampList[[#This Row],[Distance]]/5)+1,"")</f>
        <v/>
      </c>
      <c r="AH235" s="640"/>
      <c r="AI235" s="640"/>
    </row>
    <row r="236" spans="2:35" s="199" customFormat="1" ht="15.75" customHeight="1" x14ac:dyDescent="0.3">
      <c r="B236" s="218" t="s">
        <v>460</v>
      </c>
      <c r="C236" s="212" t="s">
        <v>378</v>
      </c>
      <c r="D236" s="212" t="s">
        <v>478</v>
      </c>
      <c r="E236" s="212" t="s">
        <v>180</v>
      </c>
      <c r="F236" s="212" t="s">
        <v>479</v>
      </c>
      <c r="G236" s="212" t="s">
        <v>480</v>
      </c>
      <c r="H236" s="212" t="s">
        <v>481</v>
      </c>
      <c r="I236" s="213" t="s">
        <v>1153</v>
      </c>
      <c r="J236" s="232" t="s">
        <v>1154</v>
      </c>
      <c r="K236" s="213" t="s">
        <v>1160</v>
      </c>
      <c r="L236" s="213">
        <v>166819</v>
      </c>
      <c r="M236" s="185" t="s">
        <v>1159</v>
      </c>
      <c r="N236" s="213" t="s">
        <v>1162</v>
      </c>
      <c r="O236" s="258">
        <v>96.662092000000001</v>
      </c>
      <c r="P236" s="258">
        <v>25.920006000000001</v>
      </c>
      <c r="Q236" s="233"/>
      <c r="R236" s="292">
        <v>29</v>
      </c>
      <c r="S236" s="292">
        <v>118</v>
      </c>
      <c r="T236" s="222">
        <f>IF(CampList[[#This Row],[HH]]&gt;0,CampList[[#This Row],[Total]]/CampList[[#This Row],[HH]],"NA")</f>
        <v>4.068965517241379</v>
      </c>
      <c r="U236" s="197" t="s">
        <v>464</v>
      </c>
      <c r="V236" s="214" t="s">
        <v>995</v>
      </c>
      <c r="W236" s="197" t="s">
        <v>507</v>
      </c>
      <c r="X236" s="197" t="s">
        <v>784</v>
      </c>
      <c r="Y236" s="332">
        <v>42584</v>
      </c>
      <c r="Z236" s="233" t="s">
        <v>424</v>
      </c>
      <c r="AA236" s="213" t="s">
        <v>774</v>
      </c>
      <c r="AB236" s="225">
        <v>43235</v>
      </c>
      <c r="AC236" s="235" t="s">
        <v>1779</v>
      </c>
      <c r="AD236" s="236" t="str">
        <f ca="1">IFERROR(OFFSET(DistanceToCamp[Nearest Town],MATCH(CampList[[#This Row],[CP_Pcode]],DistanceToCamp[CP_Pcode],0)-1,0,1,1),"")</f>
        <v>Hpakant Town</v>
      </c>
      <c r="AE236" s="227">
        <f ca="1">IFERROR(OFFSET(DistanceToCamp[distance],MATCH(CampList[[#This Row],[CP_Pcode]],DistanceToCamp[CP_Pcode],0)-1,0,1,1),"")</f>
        <v>0</v>
      </c>
      <c r="AF236" s="237">
        <f ca="1">IFERROR(INT(CampList[[#This Row],[Distance]]/5)+1,"")</f>
        <v>1</v>
      </c>
      <c r="AH236" s="640"/>
      <c r="AI236" s="640"/>
    </row>
    <row r="237" spans="2:35" s="199" customFormat="1" ht="15.75" hidden="1" customHeight="1" x14ac:dyDescent="0.3">
      <c r="B237" s="218" t="s">
        <v>775</v>
      </c>
      <c r="C237" s="212" t="s">
        <v>378</v>
      </c>
      <c r="D237" s="212" t="s">
        <v>478</v>
      </c>
      <c r="E237" s="212" t="s">
        <v>180</v>
      </c>
      <c r="F237" s="212" t="s">
        <v>479</v>
      </c>
      <c r="G237" s="212" t="s">
        <v>480</v>
      </c>
      <c r="H237" s="212" t="s">
        <v>481</v>
      </c>
      <c r="I237" s="213" t="s">
        <v>1153</v>
      </c>
      <c r="J237" s="232" t="s">
        <v>1154</v>
      </c>
      <c r="K237" s="213" t="s">
        <v>1160</v>
      </c>
      <c r="L237" s="213">
        <v>166819</v>
      </c>
      <c r="M237" s="185" t="s">
        <v>1156</v>
      </c>
      <c r="N237" s="213" t="s">
        <v>1163</v>
      </c>
      <c r="O237" s="258">
        <v>96.662092000000001</v>
      </c>
      <c r="P237" s="258">
        <v>25.920006000000001</v>
      </c>
      <c r="Q237" s="233"/>
      <c r="R237" s="197"/>
      <c r="S237" s="241"/>
      <c r="T237" s="222" t="str">
        <f>IF(CampList[[#This Row],[HH]]&gt;0,CampList[[#This Row],[Total]]/CampList[[#This Row],[HH]],"NA")</f>
        <v>NA</v>
      </c>
      <c r="U237" s="197" t="s">
        <v>464</v>
      </c>
      <c r="V237" s="214" t="s">
        <v>995</v>
      </c>
      <c r="W237" s="197" t="s">
        <v>507</v>
      </c>
      <c r="X237" s="197" t="s">
        <v>784</v>
      </c>
      <c r="Y237" s="234">
        <v>42584</v>
      </c>
      <c r="Z237" s="233"/>
      <c r="AA237" s="213" t="s">
        <v>774</v>
      </c>
      <c r="AB237" s="225">
        <v>42849</v>
      </c>
      <c r="AC237" s="235" t="s">
        <v>1234</v>
      </c>
      <c r="AD237" s="236" t="str">
        <f ca="1">IFERROR(OFFSET(DistanceToCamp[Nearest Town],MATCH(CampList[[#This Row],[CP_Pcode]],DistanceToCamp[CP_Pcode],0)-1,0,1,1),"")</f>
        <v>Hpakant Town</v>
      </c>
      <c r="AE237" s="227">
        <f ca="1">IFERROR(OFFSET(DistanceToCamp[distance],MATCH(CampList[[#This Row],[CP_Pcode]],DistanceToCamp[CP_Pcode],0)-1,0,1,1),"")</f>
        <v>0</v>
      </c>
      <c r="AF237" s="237">
        <f ca="1">IFERROR(INT(CampList[[#This Row],[Distance]]/5)+1,"")</f>
        <v>1</v>
      </c>
      <c r="AH237" s="640"/>
      <c r="AI237" s="640"/>
    </row>
    <row r="238" spans="2:35" s="199" customFormat="1" ht="15.75" customHeight="1" x14ac:dyDescent="0.3">
      <c r="B238" s="218" t="s">
        <v>460</v>
      </c>
      <c r="C238" s="212" t="s">
        <v>378</v>
      </c>
      <c r="D238" s="212" t="s">
        <v>478</v>
      </c>
      <c r="E238" s="212" t="s">
        <v>180</v>
      </c>
      <c r="F238" s="212" t="s">
        <v>479</v>
      </c>
      <c r="G238" s="212" t="s">
        <v>480</v>
      </c>
      <c r="H238" s="212" t="s">
        <v>481</v>
      </c>
      <c r="I238" s="213" t="s">
        <v>1153</v>
      </c>
      <c r="J238" s="232" t="s">
        <v>1154</v>
      </c>
      <c r="K238" s="213" t="s">
        <v>1160</v>
      </c>
      <c r="L238" s="213">
        <v>166819</v>
      </c>
      <c r="M238" s="185" t="s">
        <v>1158</v>
      </c>
      <c r="N238" s="213" t="s">
        <v>1164</v>
      </c>
      <c r="O238" s="258">
        <v>96.662092000000001</v>
      </c>
      <c r="P238" s="258">
        <v>25.920006000000001</v>
      </c>
      <c r="Q238" s="233"/>
      <c r="R238" s="292">
        <v>5</v>
      </c>
      <c r="S238" s="292">
        <v>13</v>
      </c>
      <c r="T238" s="222">
        <f>IF(CampList[[#This Row],[HH]]&gt;0,CampList[[#This Row],[Total]]/CampList[[#This Row],[HH]],"NA")</f>
        <v>2.6</v>
      </c>
      <c r="U238" s="197" t="s">
        <v>464</v>
      </c>
      <c r="V238" s="214" t="s">
        <v>995</v>
      </c>
      <c r="W238" s="197" t="s">
        <v>1597</v>
      </c>
      <c r="X238" s="197" t="s">
        <v>784</v>
      </c>
      <c r="Y238" s="332">
        <v>42584</v>
      </c>
      <c r="Z238" s="223" t="s">
        <v>1322</v>
      </c>
      <c r="AA238" s="213" t="s">
        <v>774</v>
      </c>
      <c r="AB238" s="225">
        <v>43186</v>
      </c>
      <c r="AC238" s="235" t="s">
        <v>1624</v>
      </c>
      <c r="AD238" s="236" t="str">
        <f ca="1">IFERROR(OFFSET(DistanceToCamp[Nearest Town],MATCH(CampList[[#This Row],[CP_Pcode]],DistanceToCamp[CP_Pcode],0)-1,0,1,1),"")</f>
        <v>Hpakant Town</v>
      </c>
      <c r="AE238" s="227">
        <f ca="1">IFERROR(OFFSET(DistanceToCamp[distance],MATCH(CampList[[#This Row],[CP_Pcode]],DistanceToCamp[CP_Pcode],0)-1,0,1,1),"")</f>
        <v>0</v>
      </c>
      <c r="AF238" s="237">
        <f ca="1">IFERROR(INT(CampList[[#This Row],[Distance]]/5)+1,"")</f>
        <v>1</v>
      </c>
      <c r="AH238" s="640"/>
      <c r="AI238" s="640"/>
    </row>
    <row r="239" spans="2:35" s="199" customFormat="1" ht="15.75" hidden="1" customHeight="1" x14ac:dyDescent="0.3">
      <c r="B239" s="218" t="s">
        <v>775</v>
      </c>
      <c r="C239" s="212" t="s">
        <v>506</v>
      </c>
      <c r="D239" s="212" t="s">
        <v>489</v>
      </c>
      <c r="E239" s="212" t="s">
        <v>230</v>
      </c>
      <c r="F239" s="212" t="s">
        <v>490</v>
      </c>
      <c r="G239" s="212" t="s">
        <v>146</v>
      </c>
      <c r="H239" s="212" t="s">
        <v>497</v>
      </c>
      <c r="I239" s="212" t="s">
        <v>836</v>
      </c>
      <c r="J239" s="212"/>
      <c r="K239" s="212" t="s">
        <v>836</v>
      </c>
      <c r="L239" s="212"/>
      <c r="M239" s="212" t="s">
        <v>839</v>
      </c>
      <c r="N239" s="212" t="s">
        <v>840</v>
      </c>
      <c r="O239" s="221"/>
      <c r="P239" s="221"/>
      <c r="Q239" s="233"/>
      <c r="R239" s="302">
        <v>0</v>
      </c>
      <c r="S239" s="303">
        <v>0</v>
      </c>
      <c r="T239" s="222" t="str">
        <f>IF(CampList[[#This Row],[HH]]&gt;0,CampList[[#This Row],[Total]]/CampList[[#This Row],[HH]],"NA")</f>
        <v>NA</v>
      </c>
      <c r="U239" s="214" t="s">
        <v>466</v>
      </c>
      <c r="V239" s="214" t="s">
        <v>995</v>
      </c>
      <c r="W239" s="214" t="s">
        <v>507</v>
      </c>
      <c r="X239" s="214" t="s">
        <v>784</v>
      </c>
      <c r="Y239" s="234"/>
      <c r="Z239" s="224"/>
      <c r="AA239" s="212" t="s">
        <v>774</v>
      </c>
      <c r="AB239" s="225">
        <v>41289</v>
      </c>
      <c r="AC239" s="226" t="s">
        <v>842</v>
      </c>
      <c r="AD239" s="214" t="str">
        <f ca="1">IFERROR(OFFSET(DistanceToCamp[Nearest Town],MATCH(CampList[[#This Row],[CP_Pcode]],DistanceToCamp[CP_Pcode],0)-1,0,1,1),"")</f>
        <v/>
      </c>
      <c r="AE239" s="227" t="str">
        <f ca="1">IFERROR(OFFSET(DistanceToCamp[distance],MATCH(CampList[[#This Row],[CP_Pcode]],DistanceToCamp[CP_Pcode],0)-1,0,1,1),"")</f>
        <v/>
      </c>
      <c r="AF239" s="228" t="str">
        <f ca="1">IFERROR(INT(CampList[[#This Row],[Distance]]/5)+1,"")</f>
        <v/>
      </c>
      <c r="AH239" s="640"/>
      <c r="AI239" s="640"/>
    </row>
    <row r="240" spans="2:35" s="199" customFormat="1" ht="15.75" customHeight="1" x14ac:dyDescent="0.3">
      <c r="B240" s="218" t="s">
        <v>460</v>
      </c>
      <c r="C240" s="212" t="s">
        <v>506</v>
      </c>
      <c r="D240" s="212" t="s">
        <v>489</v>
      </c>
      <c r="E240" s="212" t="s">
        <v>230</v>
      </c>
      <c r="F240" s="212" t="s">
        <v>490</v>
      </c>
      <c r="G240" s="212" t="s">
        <v>146</v>
      </c>
      <c r="H240" s="212" t="s">
        <v>497</v>
      </c>
      <c r="I240" s="212" t="s">
        <v>669</v>
      </c>
      <c r="J240" s="212" t="s">
        <v>670</v>
      </c>
      <c r="K240" s="212" t="s">
        <v>671</v>
      </c>
      <c r="L240" s="212" t="s">
        <v>672</v>
      </c>
      <c r="M240" s="212" t="s">
        <v>367</v>
      </c>
      <c r="N240" s="212" t="s">
        <v>381</v>
      </c>
      <c r="O240" s="219">
        <v>97.926813999999993</v>
      </c>
      <c r="P240" s="219">
        <v>23.450914000000001</v>
      </c>
      <c r="Q240" s="220">
        <v>4336</v>
      </c>
      <c r="R240" s="292">
        <v>56</v>
      </c>
      <c r="S240" s="292">
        <v>264</v>
      </c>
      <c r="T240" s="222">
        <f>IF(CampList[[#This Row],[HH]]&gt;0,CampList[[#This Row],[Total]]/CampList[[#This Row],[HH]],"NA")</f>
        <v>4.7142857142857144</v>
      </c>
      <c r="U240" s="214" t="s">
        <v>464</v>
      </c>
      <c r="V240" s="214" t="s">
        <v>995</v>
      </c>
      <c r="W240" s="214" t="s">
        <v>507</v>
      </c>
      <c r="X240" s="214" t="s">
        <v>742</v>
      </c>
      <c r="Y240" s="223">
        <v>41244</v>
      </c>
      <c r="Z240" s="223" t="s">
        <v>424</v>
      </c>
      <c r="AA240" s="239" t="s">
        <v>774</v>
      </c>
      <c r="AB240" s="225">
        <v>43235</v>
      </c>
      <c r="AC240" s="218" t="s">
        <v>1787</v>
      </c>
      <c r="AD240" s="214" t="str">
        <f ca="1">IFERROR(OFFSET(DistanceToCamp[Nearest Town],MATCH(CampList[[#This Row],[CP_Pcode]],DistanceToCamp[CP_Pcode],0)-1,0,1,1),"")</f>
        <v>Kutkai Town</v>
      </c>
      <c r="AE240" s="227">
        <f ca="1">IFERROR(OFFSET(DistanceToCamp[distance],MATCH(CampList[[#This Row],[CP_Pcode]],DistanceToCamp[CP_Pcode],0)-1,0,1,1),"")</f>
        <v>1.9281430163271129</v>
      </c>
      <c r="AF240" s="228">
        <f ca="1">IFERROR(INT(CampList[[#This Row],[Distance]]/5)+1,"")</f>
        <v>1</v>
      </c>
      <c r="AH240" s="640"/>
      <c r="AI240" s="640"/>
    </row>
    <row r="241" spans="2:35" s="199" customFormat="1" ht="15.75" customHeight="1" x14ac:dyDescent="0.3">
      <c r="B241" s="218" t="s">
        <v>460</v>
      </c>
      <c r="C241" s="212" t="s">
        <v>506</v>
      </c>
      <c r="D241" s="212" t="s">
        <v>489</v>
      </c>
      <c r="E241" s="212" t="s">
        <v>230</v>
      </c>
      <c r="F241" s="212" t="s">
        <v>490</v>
      </c>
      <c r="G241" s="212" t="s">
        <v>146</v>
      </c>
      <c r="H241" s="212" t="s">
        <v>497</v>
      </c>
      <c r="I241" s="240" t="s">
        <v>662</v>
      </c>
      <c r="J241" s="212" t="s">
        <v>1040</v>
      </c>
      <c r="K241" s="240" t="s">
        <v>662</v>
      </c>
      <c r="L241" s="255">
        <v>208747</v>
      </c>
      <c r="M241" s="212" t="s">
        <v>1650</v>
      </c>
      <c r="N241" s="212" t="s">
        <v>383</v>
      </c>
      <c r="O241" s="219">
        <v>97.793019999999999</v>
      </c>
      <c r="P241" s="219">
        <v>23.588920000000002</v>
      </c>
      <c r="Q241" s="220">
        <v>1012.5</v>
      </c>
      <c r="R241" s="292">
        <v>76</v>
      </c>
      <c r="S241" s="292">
        <v>338</v>
      </c>
      <c r="T241" s="222">
        <f>IF(CampList[[#This Row],[HH]]&gt;0,CampList[[#This Row],[Total]]/CampList[[#This Row],[HH]],"NA")</f>
        <v>4.4473684210526319</v>
      </c>
      <c r="U241" s="214" t="s">
        <v>464</v>
      </c>
      <c r="V241" s="214" t="s">
        <v>995</v>
      </c>
      <c r="W241" s="214" t="s">
        <v>507</v>
      </c>
      <c r="X241" s="214" t="s">
        <v>784</v>
      </c>
      <c r="Y241" s="223">
        <v>41275</v>
      </c>
      <c r="Z241" s="223" t="s">
        <v>424</v>
      </c>
      <c r="AA241" s="239" t="s">
        <v>774</v>
      </c>
      <c r="AB241" s="225">
        <v>43235</v>
      </c>
      <c r="AC241" s="218" t="s">
        <v>1788</v>
      </c>
      <c r="AD241" s="214" t="str">
        <f ca="1">IFERROR(OFFSET(DistanceToCamp[Nearest Town],MATCH(CampList[[#This Row],[CP_Pcode]],DistanceToCamp[CP_Pcode],0)-1,0,1,1),"")</f>
        <v>Kutkai Town</v>
      </c>
      <c r="AE241" s="227">
        <f ca="1">IFERROR(OFFSET(DistanceToCamp[distance],MATCH(CampList[[#This Row],[CP_Pcode]],DistanceToCamp[CP_Pcode],0)-1,0,1,1),"")</f>
        <v>21.050742639251741</v>
      </c>
      <c r="AF241" s="228">
        <f ca="1">IFERROR(INT(CampList[[#This Row],[Distance]]/5)+1,"")</f>
        <v>5</v>
      </c>
      <c r="AH241" s="640"/>
      <c r="AI241" s="640"/>
    </row>
    <row r="242" spans="2:35" s="199" customFormat="1" ht="15.75" customHeight="1" x14ac:dyDescent="0.3">
      <c r="B242" s="239" t="s">
        <v>460</v>
      </c>
      <c r="C242" s="212" t="s">
        <v>506</v>
      </c>
      <c r="D242" s="212" t="s">
        <v>489</v>
      </c>
      <c r="E242" s="212" t="s">
        <v>230</v>
      </c>
      <c r="F242" s="212" t="s">
        <v>490</v>
      </c>
      <c r="G242" s="212" t="s">
        <v>146</v>
      </c>
      <c r="H242" s="212" t="s">
        <v>497</v>
      </c>
      <c r="I242" s="212" t="s">
        <v>706</v>
      </c>
      <c r="J242" s="212" t="s">
        <v>707</v>
      </c>
      <c r="K242" s="212" t="s">
        <v>708</v>
      </c>
      <c r="L242" s="212">
        <v>208557</v>
      </c>
      <c r="M242" s="212" t="s">
        <v>371</v>
      </c>
      <c r="N242" s="212" t="s">
        <v>385</v>
      </c>
      <c r="O242" s="219">
        <v>97.837040000000002</v>
      </c>
      <c r="P242" s="219">
        <v>23.38503</v>
      </c>
      <c r="Q242" s="220">
        <v>0</v>
      </c>
      <c r="R242" s="292">
        <v>198</v>
      </c>
      <c r="S242" s="292">
        <v>1008</v>
      </c>
      <c r="T242" s="222">
        <f>IF(CampList[[#This Row],[HH]]&gt;0,CampList[[#This Row],[Total]]/CampList[[#This Row],[HH]],"NA")</f>
        <v>5.0909090909090908</v>
      </c>
      <c r="U242" s="214" t="s">
        <v>464</v>
      </c>
      <c r="V242" s="214" t="s">
        <v>995</v>
      </c>
      <c r="W242" s="214" t="s">
        <v>507</v>
      </c>
      <c r="X242" s="214" t="s">
        <v>784</v>
      </c>
      <c r="Y242" s="223">
        <v>41244</v>
      </c>
      <c r="Z242" s="223" t="s">
        <v>424</v>
      </c>
      <c r="AA242" s="212" t="s">
        <v>774</v>
      </c>
      <c r="AB242" s="225">
        <v>43235</v>
      </c>
      <c r="AC242" s="226" t="s">
        <v>1789</v>
      </c>
      <c r="AD242" s="214" t="str">
        <f ca="1">IFERROR(OFFSET(DistanceToCamp[Nearest Town],MATCH(CampList[[#This Row],[CP_Pcode]],DistanceToCamp[CP_Pcode],0)-1,0,1,1),"")</f>
        <v>Kutkai Town</v>
      </c>
      <c r="AE242" s="227">
        <f ca="1">IFERROR(OFFSET(DistanceToCamp[distance],MATCH(CampList[[#This Row],[CP_Pcode]],DistanceToCamp[CP_Pcode],0)-1,0,1,1),"")</f>
        <v>13.632081902964599</v>
      </c>
      <c r="AF242" s="228">
        <f ca="1">IFERROR(INT(CampList[[#This Row],[Distance]]/5)+1,"")</f>
        <v>3</v>
      </c>
      <c r="AH242" s="640"/>
      <c r="AI242" s="640"/>
    </row>
    <row r="243" spans="2:35" s="199" customFormat="1" ht="15.75" customHeight="1" x14ac:dyDescent="0.3">
      <c r="B243" s="218" t="s">
        <v>460</v>
      </c>
      <c r="C243" s="212" t="s">
        <v>506</v>
      </c>
      <c r="D243" s="212" t="s">
        <v>489</v>
      </c>
      <c r="E243" s="212" t="s">
        <v>230</v>
      </c>
      <c r="F243" s="212" t="s">
        <v>490</v>
      </c>
      <c r="G243" s="212" t="s">
        <v>230</v>
      </c>
      <c r="H243" s="212" t="s">
        <v>491</v>
      </c>
      <c r="I243" s="212" t="s">
        <v>899</v>
      </c>
      <c r="J243" s="212" t="s">
        <v>900</v>
      </c>
      <c r="K243" s="212" t="s">
        <v>901</v>
      </c>
      <c r="L243" s="240" t="s">
        <v>902</v>
      </c>
      <c r="M243" s="212" t="s">
        <v>903</v>
      </c>
      <c r="N243" s="212" t="s">
        <v>904</v>
      </c>
      <c r="O243" s="219">
        <v>97.909400000000005</v>
      </c>
      <c r="P243" s="219">
        <v>24.006319999999999</v>
      </c>
      <c r="Q243" s="233">
        <v>812.7</v>
      </c>
      <c r="R243" s="292">
        <v>42</v>
      </c>
      <c r="S243" s="292">
        <v>192</v>
      </c>
      <c r="T243" s="222">
        <f>IF(CampList[[#This Row],[HH]]&gt;0,CampList[[#This Row],[Total]]/CampList[[#This Row],[HH]],"NA")</f>
        <v>4.5714285714285712</v>
      </c>
      <c r="U243" s="214" t="s">
        <v>464</v>
      </c>
      <c r="V243" s="214" t="s">
        <v>995</v>
      </c>
      <c r="W243" s="214" t="s">
        <v>507</v>
      </c>
      <c r="X243" s="214" t="s">
        <v>742</v>
      </c>
      <c r="Y243" s="234">
        <v>41703</v>
      </c>
      <c r="Z243" s="224" t="s">
        <v>424</v>
      </c>
      <c r="AA243" s="212" t="s">
        <v>774</v>
      </c>
      <c r="AB243" s="225">
        <v>43235</v>
      </c>
      <c r="AC243" s="226" t="s">
        <v>1790</v>
      </c>
      <c r="AD243" s="214" t="str">
        <f ca="1">IFERROR(OFFSET(DistanceToCamp[Nearest Town],MATCH(CampList[[#This Row],[CP_Pcode]],DistanceToCamp[CP_Pcode],0)-1,0,1,1),"")</f>
        <v>Muse Town</v>
      </c>
      <c r="AE243" s="227">
        <f ca="1">IFERROR(OFFSET(DistanceToCamp[distance],MATCH(CampList[[#This Row],[CP_Pcode]],DistanceToCamp[CP_Pcode],0)-1,0,1,1),"")</f>
        <v>1.989668595899414</v>
      </c>
      <c r="AF243" s="228">
        <f ca="1">IFERROR(INT(CampList[[#This Row],[Distance]]/5)+1,"")</f>
        <v>1</v>
      </c>
      <c r="AH243" s="640"/>
      <c r="AI243" s="640"/>
    </row>
    <row r="244" spans="2:35" s="199" customFormat="1" ht="15.75" customHeight="1" x14ac:dyDescent="0.3">
      <c r="B244" s="218" t="s">
        <v>460</v>
      </c>
      <c r="C244" s="212" t="s">
        <v>378</v>
      </c>
      <c r="D244" s="212" t="s">
        <v>478</v>
      </c>
      <c r="E244" s="212" t="s">
        <v>180</v>
      </c>
      <c r="F244" s="212" t="s">
        <v>479</v>
      </c>
      <c r="G244" s="212" t="s">
        <v>480</v>
      </c>
      <c r="H244" s="212" t="s">
        <v>481</v>
      </c>
      <c r="I244" s="213" t="s">
        <v>1153</v>
      </c>
      <c r="J244" s="232" t="s">
        <v>1154</v>
      </c>
      <c r="K244" s="213" t="s">
        <v>1160</v>
      </c>
      <c r="L244" s="213">
        <v>166819</v>
      </c>
      <c r="M244" s="185" t="s">
        <v>1157</v>
      </c>
      <c r="N244" s="213" t="s">
        <v>1165</v>
      </c>
      <c r="O244" s="258">
        <v>96.662092000000001</v>
      </c>
      <c r="P244" s="258">
        <v>25.920006000000001</v>
      </c>
      <c r="Q244" s="233"/>
      <c r="R244" s="292">
        <v>21</v>
      </c>
      <c r="S244" s="292">
        <v>90</v>
      </c>
      <c r="T244" s="222">
        <f>IF(CampList[[#This Row],[HH]]&gt;0,CampList[[#This Row],[Total]]/CampList[[#This Row],[HH]],"NA")</f>
        <v>4.2857142857142856</v>
      </c>
      <c r="U244" s="197" t="s">
        <v>464</v>
      </c>
      <c r="V244" s="214" t="s">
        <v>995</v>
      </c>
      <c r="W244" s="197" t="s">
        <v>507</v>
      </c>
      <c r="X244" s="197" t="s">
        <v>784</v>
      </c>
      <c r="Y244" s="332">
        <v>42584</v>
      </c>
      <c r="Z244" s="223" t="s">
        <v>936</v>
      </c>
      <c r="AA244" s="213" t="s">
        <v>774</v>
      </c>
      <c r="AB244" s="225">
        <v>43230</v>
      </c>
      <c r="AC244" s="235" t="s">
        <v>1698</v>
      </c>
      <c r="AD244" s="236" t="str">
        <f ca="1">IFERROR(OFFSET(DistanceToCamp[Nearest Town],MATCH(CampList[[#This Row],[CP_Pcode]],DistanceToCamp[CP_Pcode],0)-1,0,1,1),"")</f>
        <v>Hpakant Town</v>
      </c>
      <c r="AE244" s="227">
        <f ca="1">IFERROR(OFFSET(DistanceToCamp[distance],MATCH(CampList[[#This Row],[CP_Pcode]],DistanceToCamp[CP_Pcode],0)-1,0,1,1),"")</f>
        <v>0</v>
      </c>
      <c r="AF244" s="237">
        <f ca="1">IFERROR(INT(CampList[[#This Row],[Distance]]/5)+1,"")</f>
        <v>1</v>
      </c>
      <c r="AH244" s="640"/>
      <c r="AI244" s="640"/>
    </row>
    <row r="245" spans="2:35" s="199" customFormat="1" ht="15.75" customHeight="1" x14ac:dyDescent="0.3">
      <c r="B245" s="231" t="s">
        <v>460</v>
      </c>
      <c r="C245" s="213" t="s">
        <v>506</v>
      </c>
      <c r="D245" s="213" t="s">
        <v>489</v>
      </c>
      <c r="E245" s="213" t="s">
        <v>230</v>
      </c>
      <c r="F245" s="213" t="s">
        <v>490</v>
      </c>
      <c r="G245" s="213" t="s">
        <v>230</v>
      </c>
      <c r="H245" s="213" t="s">
        <v>491</v>
      </c>
      <c r="I245" s="213" t="s">
        <v>899</v>
      </c>
      <c r="J245" s="232" t="s">
        <v>900</v>
      </c>
      <c r="K245" s="213" t="s">
        <v>901</v>
      </c>
      <c r="L245" s="213" t="s">
        <v>902</v>
      </c>
      <c r="M245" s="213" t="s">
        <v>913</v>
      </c>
      <c r="N245" s="213" t="s">
        <v>914</v>
      </c>
      <c r="O245" s="221">
        <v>97.911647000000002</v>
      </c>
      <c r="P245" s="221">
        <v>24.006789000000001</v>
      </c>
      <c r="Q245" s="233">
        <v>814</v>
      </c>
      <c r="R245" s="720">
        <v>18</v>
      </c>
      <c r="S245" s="721">
        <v>80</v>
      </c>
      <c r="T245" s="222">
        <f>IF(CampList[[#This Row],[HH]]&gt;0,CampList[[#This Row],[Total]]/CampList[[#This Row],[HH]],"NA")</f>
        <v>4.4444444444444446</v>
      </c>
      <c r="U245" s="197" t="s">
        <v>464</v>
      </c>
      <c r="V245" s="214" t="s">
        <v>995</v>
      </c>
      <c r="W245" s="197" t="s">
        <v>507</v>
      </c>
      <c r="X245" s="197" t="s">
        <v>742</v>
      </c>
      <c r="Y245" s="234">
        <v>41734</v>
      </c>
      <c r="Z245" s="233" t="s">
        <v>1048</v>
      </c>
      <c r="AA245" s="213" t="s">
        <v>774</v>
      </c>
      <c r="AB245" s="557">
        <v>43230</v>
      </c>
      <c r="AC245" s="235" t="s">
        <v>1729</v>
      </c>
      <c r="AD245" s="236" t="str">
        <f ca="1">IFERROR(OFFSET(DistanceToCamp[Nearest Town],MATCH(CampList[[#This Row],[CP_Pcode]],DistanceToCamp[CP_Pcode],0)-1,0,1,1),"")</f>
        <v>Muse Town</v>
      </c>
      <c r="AE245" s="227">
        <f ca="1">IFERROR(OFFSET(DistanceToCamp[distance],MATCH(CampList[[#This Row],[CP_Pcode]],DistanceToCamp[CP_Pcode],0)-1,0,1,1),"")</f>
        <v>2.1362355825722199</v>
      </c>
      <c r="AF245" s="237">
        <f ca="1">IFERROR(INT(CampList[[#This Row],[Distance]]/5)+1,"")</f>
        <v>1</v>
      </c>
      <c r="AH245" s="640"/>
      <c r="AI245" s="640"/>
    </row>
    <row r="246" spans="2:35" s="199" customFormat="1" ht="15.75" customHeight="1" x14ac:dyDescent="0.3">
      <c r="B246" s="231" t="s">
        <v>460</v>
      </c>
      <c r="C246" s="213" t="s">
        <v>506</v>
      </c>
      <c r="D246" s="213" t="s">
        <v>489</v>
      </c>
      <c r="E246" s="213" t="s">
        <v>230</v>
      </c>
      <c r="F246" s="213" t="s">
        <v>490</v>
      </c>
      <c r="G246" s="213" t="s">
        <v>146</v>
      </c>
      <c r="H246" s="213" t="s">
        <v>497</v>
      </c>
      <c r="I246" s="213" t="s">
        <v>725</v>
      </c>
      <c r="J246" s="232" t="s">
        <v>726</v>
      </c>
      <c r="K246" s="213" t="s">
        <v>727</v>
      </c>
      <c r="L246" s="213">
        <v>219842</v>
      </c>
      <c r="M246" s="213" t="s">
        <v>943</v>
      </c>
      <c r="N246" s="213" t="s">
        <v>942</v>
      </c>
      <c r="O246" s="221">
        <v>98.248999999999995</v>
      </c>
      <c r="P246" s="221">
        <v>23.463000000000001</v>
      </c>
      <c r="Q246" s="233"/>
      <c r="R246" s="221">
        <v>22</v>
      </c>
      <c r="S246" s="233">
        <v>105</v>
      </c>
      <c r="T246" s="222">
        <f>IF(CampList[[#This Row],[HH]]&gt;0,CampList[[#This Row],[Total]]/CampList[[#This Row],[HH]],"NA")</f>
        <v>4.7727272727272725</v>
      </c>
      <c r="U246" s="197" t="s">
        <v>464</v>
      </c>
      <c r="V246" s="214" t="s">
        <v>995</v>
      </c>
      <c r="W246" s="197" t="s">
        <v>507</v>
      </c>
      <c r="X246" s="197" t="s">
        <v>784</v>
      </c>
      <c r="Y246" s="234">
        <v>40787</v>
      </c>
      <c r="Z246" s="233" t="s">
        <v>1048</v>
      </c>
      <c r="AA246" s="213" t="s">
        <v>774</v>
      </c>
      <c r="AB246" s="557">
        <v>43230</v>
      </c>
      <c r="AC246" s="235" t="s">
        <v>1730</v>
      </c>
      <c r="AD246" s="214"/>
      <c r="AE246" s="227" t="str">
        <f ca="1">IFERROR(OFFSET(DistanceToCamp[distance],MATCH(CampList[[#This Row],[CP_Pcode]],DistanceToCamp[CP_Pcode],0)-1,0,1,1),"")</f>
        <v/>
      </c>
      <c r="AF246" s="237" t="str">
        <f ca="1">IFERROR(INT(CampList[[#This Row],[Distance]]/5)+1,"")</f>
        <v/>
      </c>
      <c r="AH246" s="640"/>
      <c r="AI246" s="640"/>
    </row>
    <row r="247" spans="2:35" s="199" customFormat="1" ht="15.75" customHeight="1" x14ac:dyDescent="0.3">
      <c r="B247" s="218" t="s">
        <v>460</v>
      </c>
      <c r="C247" s="212" t="s">
        <v>506</v>
      </c>
      <c r="D247" s="212" t="s">
        <v>489</v>
      </c>
      <c r="E247" s="212" t="s">
        <v>230</v>
      </c>
      <c r="F247" s="212" t="s">
        <v>490</v>
      </c>
      <c r="G247" s="212" t="s">
        <v>288</v>
      </c>
      <c r="H247" s="212" t="s">
        <v>502</v>
      </c>
      <c r="I247" s="212" t="s">
        <v>691</v>
      </c>
      <c r="J247" s="212" t="s">
        <v>692</v>
      </c>
      <c r="K247" s="212" t="s">
        <v>691</v>
      </c>
      <c r="L247" s="212">
        <v>208353</v>
      </c>
      <c r="M247" s="212" t="s">
        <v>905</v>
      </c>
      <c r="N247" s="212" t="s">
        <v>906</v>
      </c>
      <c r="O247" s="219">
        <v>97.700940000000003</v>
      </c>
      <c r="P247" s="219">
        <v>23.841646999999998</v>
      </c>
      <c r="Q247" s="233">
        <v>798</v>
      </c>
      <c r="R247" s="292">
        <v>38</v>
      </c>
      <c r="S247" s="292">
        <v>200</v>
      </c>
      <c r="T247" s="222">
        <f>IF(CampList[[#This Row],[HH]]&gt;0,CampList[[#This Row],[Total]]/CampList[[#This Row],[HH]],"NA")</f>
        <v>5.2631578947368425</v>
      </c>
      <c r="U247" s="214" t="s">
        <v>464</v>
      </c>
      <c r="V247" s="214" t="s">
        <v>995</v>
      </c>
      <c r="W247" s="214" t="s">
        <v>507</v>
      </c>
      <c r="X247" s="214" t="s">
        <v>742</v>
      </c>
      <c r="Y247" s="234">
        <v>41947</v>
      </c>
      <c r="Z247" s="224" t="s">
        <v>424</v>
      </c>
      <c r="AA247" s="212" t="s">
        <v>774</v>
      </c>
      <c r="AB247" s="225">
        <v>43235</v>
      </c>
      <c r="AC247" s="226" t="s">
        <v>1791</v>
      </c>
      <c r="AD247" s="214" t="str">
        <f ca="1">IFERROR(OFFSET(DistanceToCamp[Nearest Town],MATCH(CampList[[#This Row],[CP_Pcode]],DistanceToCamp[CP_Pcode],0)-1,0,1,1),"")</f>
        <v>Namhkan Town</v>
      </c>
      <c r="AE247" s="227">
        <f ca="1">IFERROR(OFFSET(DistanceToCamp[distance],MATCH(CampList[[#This Row],[CP_Pcode]],DistanceToCamp[CP_Pcode],0)-1,0,1,1),"")</f>
        <v>2.0141034419413328</v>
      </c>
      <c r="AF247" s="228">
        <f ca="1">IFERROR(INT(CampList[[#This Row],[Distance]]/5)+1,"")</f>
        <v>1</v>
      </c>
      <c r="AH247" s="640"/>
      <c r="AI247" s="640"/>
    </row>
    <row r="248" spans="2:35" s="199" customFormat="1" ht="15.75" customHeight="1" x14ac:dyDescent="0.3">
      <c r="B248" s="218" t="s">
        <v>460</v>
      </c>
      <c r="C248" s="212" t="s">
        <v>506</v>
      </c>
      <c r="D248" s="212" t="s">
        <v>489</v>
      </c>
      <c r="E248" s="212" t="s">
        <v>230</v>
      </c>
      <c r="F248" s="213" t="s">
        <v>490</v>
      </c>
      <c r="G248" s="213" t="s">
        <v>146</v>
      </c>
      <c r="H248" s="213" t="s">
        <v>497</v>
      </c>
      <c r="I248" s="256" t="s">
        <v>706</v>
      </c>
      <c r="J248" s="232" t="s">
        <v>707</v>
      </c>
      <c r="K248" s="212"/>
      <c r="L248" s="212"/>
      <c r="M248" s="256" t="s">
        <v>1082</v>
      </c>
      <c r="N248" s="212" t="s">
        <v>1083</v>
      </c>
      <c r="O248" s="251">
        <v>97.868876999999998</v>
      </c>
      <c r="P248" s="251">
        <v>23.447111</v>
      </c>
      <c r="Q248" s="233"/>
      <c r="R248" s="220">
        <v>105</v>
      </c>
      <c r="S248" s="233">
        <v>568</v>
      </c>
      <c r="T248" s="222">
        <f>IF(CampList[[#This Row],[HH]]&gt;0,CampList[[#This Row],[Total]]/CampList[[#This Row],[HH]],"NA")</f>
        <v>5.4095238095238098</v>
      </c>
      <c r="U248" s="214" t="s">
        <v>464</v>
      </c>
      <c r="V248" s="214" t="s">
        <v>995</v>
      </c>
      <c r="W248" s="214" t="s">
        <v>1391</v>
      </c>
      <c r="X248" s="214" t="s">
        <v>784</v>
      </c>
      <c r="Y248" s="223">
        <v>42036</v>
      </c>
      <c r="Z248" s="223" t="s">
        <v>1322</v>
      </c>
      <c r="AA248" s="212" t="s">
        <v>774</v>
      </c>
      <c r="AB248" s="225">
        <v>42927</v>
      </c>
      <c r="AC248" s="226" t="s">
        <v>1289</v>
      </c>
      <c r="AD248" s="214"/>
      <c r="AE248" s="227" t="str">
        <f ca="1">IFERROR(OFFSET(DistanceToCamp[distance],MATCH(CampList[[#This Row],[CP_Pcode]],DistanceToCamp[CP_Pcode],0)-1,0,1,1),"")</f>
        <v/>
      </c>
      <c r="AF248" s="237" t="str">
        <f ca="1">IFERROR(INT(CampList[[#This Row],[Distance]]/5)+1,"")</f>
        <v/>
      </c>
      <c r="AH248" s="640"/>
      <c r="AI248" s="640"/>
    </row>
    <row r="249" spans="2:35" s="199" customFormat="1" ht="15.75" customHeight="1" x14ac:dyDescent="0.3">
      <c r="B249" s="218" t="s">
        <v>460</v>
      </c>
      <c r="C249" s="212" t="s">
        <v>506</v>
      </c>
      <c r="D249" s="212" t="s">
        <v>489</v>
      </c>
      <c r="E249" s="212" t="s">
        <v>230</v>
      </c>
      <c r="F249" s="212" t="s">
        <v>490</v>
      </c>
      <c r="G249" s="212" t="s">
        <v>288</v>
      </c>
      <c r="H249" s="212" t="s">
        <v>502</v>
      </c>
      <c r="I249" s="212" t="s">
        <v>908</v>
      </c>
      <c r="J249" s="212" t="s">
        <v>907</v>
      </c>
      <c r="K249" s="212" t="s">
        <v>909</v>
      </c>
      <c r="L249" s="240">
        <v>208338</v>
      </c>
      <c r="M249" s="212" t="s">
        <v>917</v>
      </c>
      <c r="N249" s="212" t="s">
        <v>910</v>
      </c>
      <c r="O249" s="219">
        <v>97.709879999999998</v>
      </c>
      <c r="P249" s="219">
        <v>23.838190000000001</v>
      </c>
      <c r="Q249" s="233">
        <v>829.8</v>
      </c>
      <c r="R249" s="292">
        <v>126</v>
      </c>
      <c r="S249" s="292">
        <v>575</v>
      </c>
      <c r="T249" s="222">
        <f>IF(CampList[[#This Row],[HH]]&gt;0,CampList[[#This Row],[Total]]/CampList[[#This Row],[HH]],"NA")</f>
        <v>4.5634920634920633</v>
      </c>
      <c r="U249" s="214" t="s">
        <v>464</v>
      </c>
      <c r="V249" s="214" t="s">
        <v>995</v>
      </c>
      <c r="W249" s="214" t="s">
        <v>507</v>
      </c>
      <c r="X249" s="214" t="s">
        <v>742</v>
      </c>
      <c r="Y249" s="234">
        <v>41747</v>
      </c>
      <c r="Z249" s="224" t="s">
        <v>424</v>
      </c>
      <c r="AA249" s="212" t="s">
        <v>774</v>
      </c>
      <c r="AB249" s="225">
        <v>43235</v>
      </c>
      <c r="AC249" s="226" t="s">
        <v>1792</v>
      </c>
      <c r="AD249" s="214" t="str">
        <f ca="1">IFERROR(OFFSET(DistanceToCamp[Nearest Town],MATCH(CampList[[#This Row],[CP_Pcode]],DistanceToCamp[CP_Pcode],0)-1,0,1,1),"")</f>
        <v>Namhkan Town</v>
      </c>
      <c r="AE249" s="227">
        <f ca="1">IFERROR(OFFSET(DistanceToCamp[distance],MATCH(CampList[[#This Row],[CP_Pcode]],DistanceToCamp[CP_Pcode],0)-1,0,1,1),"")</f>
        <v>2.8590638493982405</v>
      </c>
      <c r="AF249" s="228">
        <f ca="1">IFERROR(INT(CampList[[#This Row],[Distance]]/5)+1,"")</f>
        <v>1</v>
      </c>
      <c r="AH249" s="640"/>
      <c r="AI249" s="640"/>
    </row>
    <row r="250" spans="2:35" s="199" customFormat="1" ht="15.75" customHeight="1" x14ac:dyDescent="0.3">
      <c r="B250" s="231" t="s">
        <v>460</v>
      </c>
      <c r="C250" s="212" t="s">
        <v>506</v>
      </c>
      <c r="D250" s="212" t="s">
        <v>489</v>
      </c>
      <c r="E250" s="212" t="s">
        <v>494</v>
      </c>
      <c r="F250" s="212" t="s">
        <v>495</v>
      </c>
      <c r="G250" s="212" t="s">
        <v>297</v>
      </c>
      <c r="H250" s="212" t="s">
        <v>503</v>
      </c>
      <c r="I250" s="212" t="s">
        <v>909</v>
      </c>
      <c r="J250" s="232" t="s">
        <v>1139</v>
      </c>
      <c r="K250" s="212" t="s">
        <v>1140</v>
      </c>
      <c r="L250" s="232">
        <v>210455</v>
      </c>
      <c r="M250" s="212" t="s">
        <v>1138</v>
      </c>
      <c r="N250" s="213" t="s">
        <v>1122</v>
      </c>
      <c r="O250" s="219">
        <v>97.358999999999995</v>
      </c>
      <c r="P250" s="219">
        <v>22.765999999999998</v>
      </c>
      <c r="Q250" s="233"/>
      <c r="R250" s="329">
        <v>19</v>
      </c>
      <c r="S250" s="330">
        <v>82</v>
      </c>
      <c r="T250" s="222">
        <f>IF(CampList[[#This Row],[HH]]&gt;0,CampList[[#This Row],[Total]]/CampList[[#This Row],[HH]],"NA")</f>
        <v>4.3157894736842106</v>
      </c>
      <c r="U250" s="197" t="s">
        <v>464</v>
      </c>
      <c r="V250" s="214" t="s">
        <v>995</v>
      </c>
      <c r="W250" s="214" t="s">
        <v>1391</v>
      </c>
      <c r="X250" s="214" t="s">
        <v>784</v>
      </c>
      <c r="Y250" s="234">
        <v>42370</v>
      </c>
      <c r="Z250" s="223" t="s">
        <v>1322</v>
      </c>
      <c r="AA250" s="213" t="s">
        <v>774</v>
      </c>
      <c r="AB250" s="225">
        <v>42576</v>
      </c>
      <c r="AC250" s="218" t="s">
        <v>1395</v>
      </c>
      <c r="AD250" s="214" t="str">
        <f ca="1">IFERROR(OFFSET(DistanceToCamp[Nearest Town],MATCH(CampList[[#This Row],[CP_Pcode]],DistanceToCamp[CP_Pcode],0)-1,0,1,1),"")</f>
        <v/>
      </c>
      <c r="AE250" s="227" t="str">
        <f ca="1">IFERROR(OFFSET(DistanceToCamp[distance],MATCH(CampList[[#This Row],[CP_Pcode]],DistanceToCamp[CP_Pcode],0)-1,0,1,1),"")</f>
        <v/>
      </c>
      <c r="AF250" s="237" t="str">
        <f ca="1">IFERROR(INT(CampList[[#This Row],[Distance]]/5)+1,"")</f>
        <v/>
      </c>
      <c r="AH250" s="640"/>
      <c r="AI250" s="640"/>
    </row>
    <row r="251" spans="2:35" s="199" customFormat="1" ht="13.95" customHeight="1" x14ac:dyDescent="0.3">
      <c r="B251" s="231" t="s">
        <v>460</v>
      </c>
      <c r="C251" s="212" t="s">
        <v>506</v>
      </c>
      <c r="D251" s="212" t="s">
        <v>489</v>
      </c>
      <c r="E251" s="212" t="s">
        <v>494</v>
      </c>
      <c r="F251" s="212" t="s">
        <v>495</v>
      </c>
      <c r="G251" s="212" t="s">
        <v>166</v>
      </c>
      <c r="H251" s="212" t="s">
        <v>496</v>
      </c>
      <c r="I251" s="212"/>
      <c r="J251" s="232"/>
      <c r="K251" s="212"/>
      <c r="L251" s="212"/>
      <c r="M251" s="212" t="s">
        <v>1141</v>
      </c>
      <c r="N251" s="213" t="s">
        <v>1123</v>
      </c>
      <c r="O251" s="219"/>
      <c r="P251" s="219"/>
      <c r="Q251" s="233"/>
      <c r="R251" s="329">
        <v>36</v>
      </c>
      <c r="S251" s="330">
        <v>188</v>
      </c>
      <c r="T251" s="222">
        <f>IF(CampList[[#This Row],[HH]]&gt;0,CampList[[#This Row],[Total]]/CampList[[#This Row],[HH]],"NA")</f>
        <v>5.2222222222222223</v>
      </c>
      <c r="U251" s="197" t="s">
        <v>464</v>
      </c>
      <c r="V251" s="214" t="s">
        <v>995</v>
      </c>
      <c r="W251" s="214" t="s">
        <v>1391</v>
      </c>
      <c r="X251" s="214" t="s">
        <v>742</v>
      </c>
      <c r="Y251" s="234">
        <v>42370</v>
      </c>
      <c r="Z251" s="223" t="s">
        <v>1322</v>
      </c>
      <c r="AA251" s="213" t="s">
        <v>774</v>
      </c>
      <c r="AB251" s="225">
        <v>42562</v>
      </c>
      <c r="AC251" s="218" t="s">
        <v>1396</v>
      </c>
      <c r="AD251" s="214" t="str">
        <f ca="1">IFERROR(OFFSET(DistanceToCamp[Nearest Town],MATCH(CampList[[#This Row],[CP_Pcode]],DistanceToCamp[CP_Pcode],0)-1,0,1,1),"")</f>
        <v/>
      </c>
      <c r="AE251" s="227" t="str">
        <f ca="1">IFERROR(OFFSET(DistanceToCamp[distance],MATCH(CampList[[#This Row],[CP_Pcode]],DistanceToCamp[CP_Pcode],0)-1,0,1,1),"")</f>
        <v/>
      </c>
      <c r="AF251" s="237" t="str">
        <f ca="1">IFERROR(INT(CampList[[#This Row],[Distance]]/5)+1,"")</f>
        <v/>
      </c>
      <c r="AH251" s="640"/>
      <c r="AI251" s="640"/>
    </row>
    <row r="252" spans="2:35" s="199" customFormat="1" ht="13.95" customHeight="1" x14ac:dyDescent="0.3">
      <c r="B252" s="289" t="s">
        <v>460</v>
      </c>
      <c r="C252" s="213" t="s">
        <v>378</v>
      </c>
      <c r="D252" s="213" t="s">
        <v>478</v>
      </c>
      <c r="E252" s="213" t="s">
        <v>237</v>
      </c>
      <c r="F252" s="213" t="s">
        <v>484</v>
      </c>
      <c r="G252" s="213" t="s">
        <v>309</v>
      </c>
      <c r="H252" s="213" t="s">
        <v>485</v>
      </c>
      <c r="I252" s="213" t="s">
        <v>1252</v>
      </c>
      <c r="J252" s="232" t="s">
        <v>1253</v>
      </c>
      <c r="K252" s="213" t="s">
        <v>1254</v>
      </c>
      <c r="L252" s="213">
        <v>216822</v>
      </c>
      <c r="M252" s="213" t="s">
        <v>1258</v>
      </c>
      <c r="N252" s="213" t="s">
        <v>1255</v>
      </c>
      <c r="O252" s="221">
        <v>97.430321000000006</v>
      </c>
      <c r="P252" s="221">
        <v>25.305008999999998</v>
      </c>
      <c r="Q252" s="233"/>
      <c r="R252" s="221">
        <v>62</v>
      </c>
      <c r="S252" s="233">
        <v>410</v>
      </c>
      <c r="T252" s="222">
        <f>IF(CampList[[#This Row],[HH]]&gt;0,CampList[[#This Row],[Total]]/CampList[[#This Row],[HH]],"NA")</f>
        <v>6.612903225806452</v>
      </c>
      <c r="U252" s="197" t="s">
        <v>464</v>
      </c>
      <c r="V252" s="214" t="s">
        <v>995</v>
      </c>
      <c r="W252" s="214" t="s">
        <v>1391</v>
      </c>
      <c r="X252" s="197" t="s">
        <v>784</v>
      </c>
      <c r="Y252" s="332"/>
      <c r="Z252" s="224" t="s">
        <v>1322</v>
      </c>
      <c r="AA252" s="213" t="s">
        <v>1259</v>
      </c>
      <c r="AB252" s="225">
        <v>42888</v>
      </c>
      <c r="AC252" s="235" t="s">
        <v>1260</v>
      </c>
      <c r="AD252" s="236" t="str">
        <f ca="1">IFERROR(OFFSET(DistanceToCamp[Nearest Town],MATCH(CampList[[#This Row],[CP_Pcode]],DistanceToCamp[CP_Pcode],0)-1,0,1,1),"")</f>
        <v>Waingmaw Town</v>
      </c>
      <c r="AE252" s="227">
        <f ca="1">IFERROR(OFFSET(DistanceToCamp[distance],MATCH(CampList[[#This Row],[CP_Pcode]],DistanceToCamp[CP_Pcode],0)-1,0,1,1),"")</f>
        <v>0</v>
      </c>
      <c r="AF252" s="237">
        <f ca="1">IFERROR(INT(CampList[[#This Row],[Distance]]/5)+1,"")</f>
        <v>1</v>
      </c>
      <c r="AH252" s="640"/>
      <c r="AI252" s="640"/>
    </row>
    <row r="253" spans="2:35" s="199" customFormat="1" ht="13.95" customHeight="1" x14ac:dyDescent="0.3">
      <c r="B253" s="289" t="s">
        <v>460</v>
      </c>
      <c r="C253" s="213" t="s">
        <v>378</v>
      </c>
      <c r="D253" s="213" t="s">
        <v>478</v>
      </c>
      <c r="E253" s="213" t="s">
        <v>237</v>
      </c>
      <c r="F253" s="213" t="s">
        <v>484</v>
      </c>
      <c r="G253" s="213" t="s">
        <v>309</v>
      </c>
      <c r="H253" s="213" t="s">
        <v>485</v>
      </c>
      <c r="I253" s="212" t="s">
        <v>695</v>
      </c>
      <c r="J253" s="212" t="s">
        <v>696</v>
      </c>
      <c r="K253" s="229" t="s">
        <v>1120</v>
      </c>
      <c r="L253" s="229">
        <v>165792</v>
      </c>
      <c r="M253" s="186" t="s">
        <v>1269</v>
      </c>
      <c r="N253" s="213" t="s">
        <v>1267</v>
      </c>
      <c r="O253" s="221"/>
      <c r="P253" s="221"/>
      <c r="Q253" s="233"/>
      <c r="R253" s="292">
        <v>413</v>
      </c>
      <c r="S253" s="292">
        <v>1913</v>
      </c>
      <c r="T253" s="222">
        <f>IF(CampList[[#This Row],[HH]]&gt;0,CampList[[#This Row],[Total]]/CampList[[#This Row],[HH]],"NA")</f>
        <v>4.6319612590799029</v>
      </c>
      <c r="U253" s="197" t="s">
        <v>466</v>
      </c>
      <c r="V253" s="214" t="s">
        <v>995</v>
      </c>
      <c r="W253" s="197" t="s">
        <v>507</v>
      </c>
      <c r="X253" s="197" t="s">
        <v>784</v>
      </c>
      <c r="Y253" s="332">
        <v>42752</v>
      </c>
      <c r="Z253" s="233" t="s">
        <v>424</v>
      </c>
      <c r="AA253" s="213" t="s">
        <v>774</v>
      </c>
      <c r="AB253" s="225">
        <v>43235</v>
      </c>
      <c r="AC253" s="235" t="s">
        <v>1780</v>
      </c>
      <c r="AD253" s="236" t="str">
        <f ca="1">IFERROR(OFFSET(DistanceToCamp[Nearest Town],MATCH(CampList[[#This Row],[CP_Pcode]],DistanceToCamp[CP_Pcode],0)-1,0,1,1),"")</f>
        <v>Waingmaw Town</v>
      </c>
      <c r="AE253" s="227">
        <f ca="1">IFERROR(OFFSET(DistanceToCamp[distance],MATCH(CampList[[#This Row],[CP_Pcode]],DistanceToCamp[CP_Pcode],0)-1,0,1,1),"")</f>
        <v>0</v>
      </c>
      <c r="AF253" s="237">
        <f ca="1">IFERROR(INT(CampList[[#This Row],[Distance]]/5)+1,"")</f>
        <v>1</v>
      </c>
      <c r="AH253" s="640"/>
      <c r="AI253" s="640"/>
    </row>
    <row r="254" spans="2:35" ht="13.95" hidden="1" customHeight="1" x14ac:dyDescent="0.3">
      <c r="B254" s="231" t="s">
        <v>775</v>
      </c>
      <c r="C254" s="212" t="s">
        <v>506</v>
      </c>
      <c r="D254" s="212" t="s">
        <v>489</v>
      </c>
      <c r="E254" s="212" t="s">
        <v>230</v>
      </c>
      <c r="F254" s="212" t="s">
        <v>490</v>
      </c>
      <c r="G254" s="212" t="s">
        <v>288</v>
      </c>
      <c r="H254" s="212" t="s">
        <v>502</v>
      </c>
      <c r="I254" s="212" t="s">
        <v>1142</v>
      </c>
      <c r="J254" s="232" t="s">
        <v>1143</v>
      </c>
      <c r="K254" s="212" t="s">
        <v>1142</v>
      </c>
      <c r="L254" s="232">
        <v>208469</v>
      </c>
      <c r="M254" s="212" t="s">
        <v>1130</v>
      </c>
      <c r="N254" s="213" t="s">
        <v>1124</v>
      </c>
      <c r="O254" s="219">
        <v>97.504999999999995</v>
      </c>
      <c r="P254" s="219">
        <v>23.611999999999998</v>
      </c>
      <c r="Q254" s="233"/>
      <c r="R254" s="302"/>
      <c r="S254" s="303"/>
      <c r="T254" s="222" t="str">
        <f>IF(CampList[[#This Row],[HH]]&gt;0,CampList[[#This Row],[Total]]/CampList[[#This Row],[HH]],"NA")</f>
        <v>NA</v>
      </c>
      <c r="U254" s="197" t="s">
        <v>464</v>
      </c>
      <c r="V254" s="214" t="s">
        <v>995</v>
      </c>
      <c r="W254" s="197" t="s">
        <v>507</v>
      </c>
      <c r="X254" s="214" t="s">
        <v>784</v>
      </c>
      <c r="Y254" s="234">
        <v>42401</v>
      </c>
      <c r="Z254" s="224"/>
      <c r="AA254" s="213" t="s">
        <v>774</v>
      </c>
      <c r="AB254" s="225">
        <v>42888</v>
      </c>
      <c r="AC254" s="218" t="s">
        <v>1250</v>
      </c>
      <c r="AD254" s="214" t="str">
        <f ca="1">IFERROR(OFFSET(DistanceToCamp[Nearest Town],MATCH(CampList[[#This Row],[CP_Pcode]],DistanceToCamp[CP_Pcode],0)-1,0,1,1),"")</f>
        <v/>
      </c>
      <c r="AE254" s="227" t="str">
        <f ca="1">IFERROR(OFFSET(DistanceToCamp[distance],MATCH(CampList[[#This Row],[CP_Pcode]],DistanceToCamp[CP_Pcode],0)-1,0,1,1),"")</f>
        <v/>
      </c>
      <c r="AF254" s="237" t="str">
        <f ca="1">IFERROR(INT(CampList[[#This Row],[Distance]]/5)+1,"")</f>
        <v/>
      </c>
    </row>
    <row r="255" spans="2:35" ht="13.95" customHeight="1" x14ac:dyDescent="0.3">
      <c r="B255" s="231" t="s">
        <v>460</v>
      </c>
      <c r="C255" s="212" t="s">
        <v>506</v>
      </c>
      <c r="D255" s="212" t="s">
        <v>489</v>
      </c>
      <c r="E255" s="212" t="s">
        <v>230</v>
      </c>
      <c r="F255" s="212" t="s">
        <v>490</v>
      </c>
      <c r="G255" s="212" t="s">
        <v>288</v>
      </c>
      <c r="H255" s="212" t="s">
        <v>502</v>
      </c>
      <c r="I255" s="212" t="s">
        <v>1142</v>
      </c>
      <c r="J255" s="232" t="s">
        <v>1143</v>
      </c>
      <c r="K255" s="212" t="s">
        <v>1142</v>
      </c>
      <c r="L255" s="232">
        <v>208469</v>
      </c>
      <c r="M255" s="212" t="s">
        <v>1131</v>
      </c>
      <c r="N255" s="213" t="s">
        <v>1125</v>
      </c>
      <c r="O255" s="219">
        <v>97.506</v>
      </c>
      <c r="P255" s="219">
        <v>23.611999999999998</v>
      </c>
      <c r="Q255" s="233"/>
      <c r="R255" s="329">
        <v>61</v>
      </c>
      <c r="S255" s="330">
        <v>276</v>
      </c>
      <c r="T255" s="222">
        <f>IF(CampList[[#This Row],[HH]]&gt;0,CampList[[#This Row],[Total]]/CampList[[#This Row],[HH]],"NA")</f>
        <v>4.5245901639344259</v>
      </c>
      <c r="U255" s="197" t="s">
        <v>464</v>
      </c>
      <c r="V255" s="214" t="s">
        <v>995</v>
      </c>
      <c r="W255" s="214" t="s">
        <v>1391</v>
      </c>
      <c r="X255" s="214" t="s">
        <v>784</v>
      </c>
      <c r="Y255" s="234">
        <v>42430</v>
      </c>
      <c r="Z255" s="223" t="s">
        <v>1322</v>
      </c>
      <c r="AA255" s="213" t="s">
        <v>774</v>
      </c>
      <c r="AB255" s="225">
        <v>42888</v>
      </c>
      <c r="AC255" s="218" t="s">
        <v>1249</v>
      </c>
      <c r="AD255" s="214" t="str">
        <f ca="1">IFERROR(OFFSET(DistanceToCamp[Nearest Town],MATCH(CampList[[#This Row],[CP_Pcode]],DistanceToCamp[CP_Pcode],0)-1,0,1,1),"")</f>
        <v/>
      </c>
      <c r="AE255" s="227" t="str">
        <f ca="1">IFERROR(OFFSET(DistanceToCamp[distance],MATCH(CampList[[#This Row],[CP_Pcode]],DistanceToCamp[CP_Pcode],0)-1,0,1,1),"")</f>
        <v/>
      </c>
      <c r="AF255" s="237" t="str">
        <f ca="1">IFERROR(INT(CampList[[#This Row],[Distance]]/5)+1,"")</f>
        <v/>
      </c>
    </row>
    <row r="256" spans="2:35" ht="13.95" customHeight="1" x14ac:dyDescent="0.3">
      <c r="B256" s="231" t="s">
        <v>460</v>
      </c>
      <c r="C256" s="212" t="s">
        <v>506</v>
      </c>
      <c r="D256" s="212" t="s">
        <v>489</v>
      </c>
      <c r="E256" s="212" t="s">
        <v>230</v>
      </c>
      <c r="F256" s="212" t="s">
        <v>490</v>
      </c>
      <c r="G256" s="212" t="s">
        <v>146</v>
      </c>
      <c r="H256" s="212" t="s">
        <v>497</v>
      </c>
      <c r="I256" s="240" t="s">
        <v>663</v>
      </c>
      <c r="J256" s="212" t="s">
        <v>1041</v>
      </c>
      <c r="K256" s="240" t="s">
        <v>1117</v>
      </c>
      <c r="L256" s="253"/>
      <c r="M256" s="212" t="s">
        <v>1596</v>
      </c>
      <c r="N256" s="213" t="s">
        <v>1126</v>
      </c>
      <c r="O256" s="219">
        <v>97.810101000000003</v>
      </c>
      <c r="P256" s="219">
        <v>23.682887999999998</v>
      </c>
      <c r="Q256" s="233"/>
      <c r="R256" s="329">
        <v>41</v>
      </c>
      <c r="S256" s="330">
        <v>137</v>
      </c>
      <c r="T256" s="222">
        <f>IF(CampList[[#This Row],[HH]]&gt;0,CampList[[#This Row],[Total]]/CampList[[#This Row],[HH]],"NA")</f>
        <v>3.3414634146341462</v>
      </c>
      <c r="U256" s="197" t="s">
        <v>464</v>
      </c>
      <c r="V256" s="214" t="s">
        <v>995</v>
      </c>
      <c r="W256" s="214" t="s">
        <v>507</v>
      </c>
      <c r="X256" s="214" t="s">
        <v>742</v>
      </c>
      <c r="Y256" s="234">
        <v>42401</v>
      </c>
      <c r="Z256" s="224" t="s">
        <v>1048</v>
      </c>
      <c r="AA256" s="213" t="s">
        <v>774</v>
      </c>
      <c r="AB256" s="557">
        <v>43230</v>
      </c>
      <c r="AC256" s="218" t="s">
        <v>1731</v>
      </c>
      <c r="AD256" s="214" t="str">
        <f ca="1">IFERROR(OFFSET(DistanceToCamp[Nearest Town],MATCH(CampList[[#This Row],[CP_Pcode]],DistanceToCamp[CP_Pcode],0)-1,0,1,1),"")</f>
        <v/>
      </c>
      <c r="AE256" s="227" t="str">
        <f ca="1">IFERROR(OFFSET(DistanceToCamp[distance],MATCH(CampList[[#This Row],[CP_Pcode]],DistanceToCamp[CP_Pcode],0)-1,0,1,1),"")</f>
        <v/>
      </c>
      <c r="AF256" s="237" t="str">
        <f ca="1">IFERROR(INT(CampList[[#This Row],[Distance]]/5)+1,"")</f>
        <v/>
      </c>
    </row>
    <row r="257" spans="2:32" ht="15.75" hidden="1" customHeight="1" x14ac:dyDescent="0.3">
      <c r="B257" s="231" t="s">
        <v>775</v>
      </c>
      <c r="C257" s="212" t="s">
        <v>506</v>
      </c>
      <c r="D257" s="212" t="s">
        <v>489</v>
      </c>
      <c r="E257" s="212" t="s">
        <v>717</v>
      </c>
      <c r="F257" s="212" t="s">
        <v>718</v>
      </c>
      <c r="G257" s="212" t="s">
        <v>719</v>
      </c>
      <c r="H257" s="212" t="s">
        <v>720</v>
      </c>
      <c r="I257" s="212" t="s">
        <v>1145</v>
      </c>
      <c r="J257" s="232" t="s">
        <v>1146</v>
      </c>
      <c r="K257" s="212" t="s">
        <v>1145</v>
      </c>
      <c r="L257" s="232">
        <v>206395</v>
      </c>
      <c r="M257" s="212" t="s">
        <v>1144</v>
      </c>
      <c r="N257" s="213" t="s">
        <v>1127</v>
      </c>
      <c r="O257" s="219">
        <v>98.221000000000004</v>
      </c>
      <c r="P257" s="219">
        <v>23.353999999999999</v>
      </c>
      <c r="Q257" s="233"/>
      <c r="R257" s="329"/>
      <c r="S257" s="330"/>
      <c r="T257" s="222" t="str">
        <f>IF(CampList[[#This Row],[HH]]&gt;0,CampList[[#This Row],[Total]]/CampList[[#This Row],[HH]],"NA")</f>
        <v>NA</v>
      </c>
      <c r="U257" s="197" t="s">
        <v>464</v>
      </c>
      <c r="V257" s="214" t="s">
        <v>995</v>
      </c>
      <c r="W257" s="197" t="s">
        <v>507</v>
      </c>
      <c r="X257" s="214" t="s">
        <v>742</v>
      </c>
      <c r="Y257" s="234">
        <v>42430</v>
      </c>
      <c r="Z257" s="224"/>
      <c r="AA257" s="213" t="s">
        <v>774</v>
      </c>
      <c r="AB257" s="225">
        <v>42927</v>
      </c>
      <c r="AC257" s="218" t="s">
        <v>1290</v>
      </c>
      <c r="AD257" s="214" t="str">
        <f ca="1">IFERROR(OFFSET(DistanceToCamp[Nearest Town],MATCH(CampList[[#This Row],[CP_Pcode]],DistanceToCamp[CP_Pcode],0)-1,0,1,1),"")</f>
        <v/>
      </c>
      <c r="AE257" s="227" t="str">
        <f ca="1">IFERROR(OFFSET(DistanceToCamp[distance],MATCH(CampList[[#This Row],[CP_Pcode]],DistanceToCamp[CP_Pcode],0)-1,0,1,1),"")</f>
        <v/>
      </c>
      <c r="AF257" s="237" t="str">
        <f ca="1">IFERROR(INT(CampList[[#This Row],[Distance]]/5)+1,"")</f>
        <v/>
      </c>
    </row>
    <row r="258" spans="2:32" ht="15.75" customHeight="1" x14ac:dyDescent="0.3">
      <c r="B258" s="231" t="s">
        <v>460</v>
      </c>
      <c r="C258" s="212" t="s">
        <v>506</v>
      </c>
      <c r="D258" s="212" t="s">
        <v>489</v>
      </c>
      <c r="E258" s="212" t="s">
        <v>230</v>
      </c>
      <c r="F258" s="212" t="s">
        <v>490</v>
      </c>
      <c r="G258" s="212" t="s">
        <v>146</v>
      </c>
      <c r="H258" s="212" t="s">
        <v>497</v>
      </c>
      <c r="I258" s="212" t="s">
        <v>1148</v>
      </c>
      <c r="J258" s="232"/>
      <c r="K258" s="212" t="s">
        <v>1149</v>
      </c>
      <c r="L258" s="212"/>
      <c r="M258" s="212" t="s">
        <v>1147</v>
      </c>
      <c r="N258" s="213" t="s">
        <v>1128</v>
      </c>
      <c r="O258" s="219">
        <v>98.337999999999994</v>
      </c>
      <c r="P258" s="219">
        <v>23.850999999999999</v>
      </c>
      <c r="Q258" s="233"/>
      <c r="R258" s="329">
        <v>30</v>
      </c>
      <c r="S258" s="330">
        <v>170</v>
      </c>
      <c r="T258" s="222">
        <f>IF(CampList[[#This Row],[HH]]&gt;0,CampList[[#This Row],[Total]]/CampList[[#This Row],[HH]],"NA")</f>
        <v>5.666666666666667</v>
      </c>
      <c r="U258" s="197" t="s">
        <v>464</v>
      </c>
      <c r="V258" s="214" t="s">
        <v>995</v>
      </c>
      <c r="W258" s="214" t="s">
        <v>1391</v>
      </c>
      <c r="X258" s="214" t="s">
        <v>784</v>
      </c>
      <c r="Y258" s="234">
        <v>42401</v>
      </c>
      <c r="Z258" s="223" t="s">
        <v>1322</v>
      </c>
      <c r="AA258" s="213" t="s">
        <v>774</v>
      </c>
      <c r="AB258" s="225">
        <v>42562</v>
      </c>
      <c r="AC258" s="218" t="s">
        <v>1397</v>
      </c>
      <c r="AD258" s="214" t="str">
        <f ca="1">IFERROR(OFFSET(DistanceToCamp[Nearest Town],MATCH(CampList[[#This Row],[CP_Pcode]],DistanceToCamp[CP_Pcode],0)-1,0,1,1),"")</f>
        <v/>
      </c>
      <c r="AE258" s="227" t="str">
        <f ca="1">IFERROR(OFFSET(DistanceToCamp[distance],MATCH(CampList[[#This Row],[CP_Pcode]],DistanceToCamp[CP_Pcode],0)-1,0,1,1),"")</f>
        <v/>
      </c>
      <c r="AF258" s="237" t="str">
        <f ca="1">IFERROR(INT(CampList[[#This Row],[Distance]]/5)+1,"")</f>
        <v/>
      </c>
    </row>
    <row r="259" spans="2:32" ht="15.75" hidden="1" customHeight="1" x14ac:dyDescent="0.3">
      <c r="B259" s="289" t="s">
        <v>775</v>
      </c>
      <c r="C259" s="212" t="s">
        <v>506</v>
      </c>
      <c r="D259" s="212" t="s">
        <v>489</v>
      </c>
      <c r="E259" s="212" t="s">
        <v>494</v>
      </c>
      <c r="F259" s="212" t="s">
        <v>495</v>
      </c>
      <c r="G259" s="212" t="s">
        <v>297</v>
      </c>
      <c r="H259" s="212" t="s">
        <v>503</v>
      </c>
      <c r="I259" s="290" t="s">
        <v>755</v>
      </c>
      <c r="J259" s="291" t="s">
        <v>756</v>
      </c>
      <c r="K259" s="290" t="s">
        <v>757</v>
      </c>
      <c r="L259" s="290" t="s">
        <v>758</v>
      </c>
      <c r="M259" s="645" t="s">
        <v>1187</v>
      </c>
      <c r="N259" s="213" t="s">
        <v>1170</v>
      </c>
      <c r="O259" s="292">
        <v>97.400671000000003</v>
      </c>
      <c r="P259" s="292">
        <v>23.099304</v>
      </c>
      <c r="Q259" s="293"/>
      <c r="R259" s="640"/>
      <c r="S259" s="640"/>
      <c r="T259" s="294" t="str">
        <f>IF(CampList[[#This Row],[HH]]&gt;0,CampList[[#This Row],[Total]]/CampList[[#This Row],[HH]],"NA")</f>
        <v>NA</v>
      </c>
      <c r="U259" s="197" t="s">
        <v>464</v>
      </c>
      <c r="V259" s="295" t="s">
        <v>995</v>
      </c>
      <c r="W259" s="196" t="s">
        <v>507</v>
      </c>
      <c r="X259" s="196" t="s">
        <v>742</v>
      </c>
      <c r="Y259" s="296"/>
      <c r="Z259" s="293"/>
      <c r="AA259" s="290" t="s">
        <v>774</v>
      </c>
      <c r="AB259" s="297">
        <v>42888</v>
      </c>
      <c r="AC259" s="298" t="s">
        <v>1248</v>
      </c>
      <c r="AD259" s="299" t="str">
        <f ca="1">IFERROR(OFFSET(DistanceToCamp[Nearest Town],MATCH(CampList[[#This Row],[CP_Pcode]],DistanceToCamp[CP_Pcode],0)-1,0,1,1),"")</f>
        <v/>
      </c>
      <c r="AE259" s="300" t="str">
        <f ca="1">IFERROR(OFFSET(DistanceToCamp[distance],MATCH(CampList[[#This Row],[CP_Pcode]],DistanceToCamp[CP_Pcode],0)-1,0,1,1),"")</f>
        <v/>
      </c>
      <c r="AF259" s="301" t="str">
        <f ca="1">IFERROR(INT(CampList[[#This Row],[Distance]]/5)+1,"")</f>
        <v/>
      </c>
    </row>
    <row r="260" spans="2:32" ht="15.75" hidden="1" customHeight="1" x14ac:dyDescent="0.3">
      <c r="B260" s="289" t="s">
        <v>775</v>
      </c>
      <c r="C260" s="212" t="s">
        <v>506</v>
      </c>
      <c r="D260" s="212" t="s">
        <v>489</v>
      </c>
      <c r="E260" s="212" t="s">
        <v>494</v>
      </c>
      <c r="F260" s="212" t="s">
        <v>495</v>
      </c>
      <c r="G260" s="212" t="s">
        <v>297</v>
      </c>
      <c r="H260" s="212" t="s">
        <v>503</v>
      </c>
      <c r="I260" s="290" t="s">
        <v>755</v>
      </c>
      <c r="J260" s="291" t="s">
        <v>756</v>
      </c>
      <c r="K260" s="290" t="s">
        <v>757</v>
      </c>
      <c r="L260" s="290" t="s">
        <v>758</v>
      </c>
      <c r="M260" s="212" t="s">
        <v>1189</v>
      </c>
      <c r="N260" s="213" t="s">
        <v>1171</v>
      </c>
      <c r="O260" s="292"/>
      <c r="P260" s="292"/>
      <c r="Q260" s="293"/>
      <c r="R260" s="251">
        <v>13</v>
      </c>
      <c r="S260" s="251">
        <v>45</v>
      </c>
      <c r="T260" s="294">
        <f>IF(CampList[[#This Row],[HH]]&gt;0,CampList[[#This Row],[Total]]/CampList[[#This Row],[HH]],"NA")</f>
        <v>3.4615384615384617</v>
      </c>
      <c r="U260" s="197" t="s">
        <v>464</v>
      </c>
      <c r="V260" s="295" t="s">
        <v>995</v>
      </c>
      <c r="W260" s="214" t="s">
        <v>1391</v>
      </c>
      <c r="X260" s="196" t="s">
        <v>742</v>
      </c>
      <c r="Y260" s="296"/>
      <c r="Z260" s="293"/>
      <c r="AA260" s="290" t="s">
        <v>774</v>
      </c>
      <c r="AB260" s="297">
        <v>42752</v>
      </c>
      <c r="AC260" s="298" t="s">
        <v>1545</v>
      </c>
      <c r="AD260" s="299" t="str">
        <f ca="1">IFERROR(OFFSET(DistanceToCamp[Nearest Town],MATCH(CampList[[#This Row],[CP_Pcode]],DistanceToCamp[CP_Pcode],0)-1,0,1,1),"")</f>
        <v/>
      </c>
      <c r="AE260" s="300" t="str">
        <f ca="1">IFERROR(OFFSET(DistanceToCamp[distance],MATCH(CampList[[#This Row],[CP_Pcode]],DistanceToCamp[CP_Pcode],0)-1,0,1,1),"")</f>
        <v/>
      </c>
      <c r="AF260" s="301" t="str">
        <f ca="1">IFERROR(INT(CampList[[#This Row],[Distance]]/5)+1,"")</f>
        <v/>
      </c>
    </row>
    <row r="261" spans="2:32" ht="15.75" hidden="1" customHeight="1" x14ac:dyDescent="0.3">
      <c r="B261" s="289" t="s">
        <v>775</v>
      </c>
      <c r="C261" s="212" t="s">
        <v>506</v>
      </c>
      <c r="D261" s="212" t="s">
        <v>489</v>
      </c>
      <c r="E261" s="212" t="s">
        <v>494</v>
      </c>
      <c r="F261" s="212" t="s">
        <v>495</v>
      </c>
      <c r="G261" s="212" t="s">
        <v>297</v>
      </c>
      <c r="H261" s="212" t="s">
        <v>503</v>
      </c>
      <c r="I261" s="290" t="s">
        <v>755</v>
      </c>
      <c r="J261" s="291" t="s">
        <v>756</v>
      </c>
      <c r="K261" s="290" t="s">
        <v>757</v>
      </c>
      <c r="L261" s="290" t="s">
        <v>758</v>
      </c>
      <c r="M261" s="645" t="s">
        <v>1190</v>
      </c>
      <c r="N261" s="213" t="s">
        <v>1172</v>
      </c>
      <c r="O261" s="292"/>
      <c r="P261" s="292"/>
      <c r="Q261" s="293"/>
      <c r="R261" s="251"/>
      <c r="S261" s="251"/>
      <c r="T261" s="294" t="str">
        <f>IF(CampList[[#This Row],[HH]]&gt;0,CampList[[#This Row],[Total]]/CampList[[#This Row],[HH]],"NA")</f>
        <v>NA</v>
      </c>
      <c r="U261" s="197" t="s">
        <v>464</v>
      </c>
      <c r="V261" s="295" t="s">
        <v>995</v>
      </c>
      <c r="W261" s="196" t="s">
        <v>507</v>
      </c>
      <c r="X261" s="196" t="s">
        <v>742</v>
      </c>
      <c r="Y261" s="296"/>
      <c r="Z261" s="293"/>
      <c r="AA261" s="290" t="s">
        <v>774</v>
      </c>
      <c r="AB261" s="225">
        <v>42919</v>
      </c>
      <c r="AC261" s="298" t="s">
        <v>1274</v>
      </c>
      <c r="AD261" s="299" t="str">
        <f ca="1">IFERROR(OFFSET(DistanceToCamp[Nearest Town],MATCH(CampList[[#This Row],[CP_Pcode]],DistanceToCamp[CP_Pcode],0)-1,0,1,1),"")</f>
        <v/>
      </c>
      <c r="AE261" s="300" t="str">
        <f ca="1">IFERROR(OFFSET(DistanceToCamp[distance],MATCH(CampList[[#This Row],[CP_Pcode]],DistanceToCamp[CP_Pcode],0)-1,0,1,1),"")</f>
        <v/>
      </c>
      <c r="AF261" s="301" t="str">
        <f ca="1">IFERROR(INT(CampList[[#This Row],[Distance]]/5)+1,"")</f>
        <v/>
      </c>
    </row>
    <row r="262" spans="2:32" ht="15.75" hidden="1" customHeight="1" x14ac:dyDescent="0.3">
      <c r="B262" s="289" t="s">
        <v>775</v>
      </c>
      <c r="C262" s="212" t="s">
        <v>506</v>
      </c>
      <c r="D262" s="212" t="s">
        <v>489</v>
      </c>
      <c r="E262" s="212" t="s">
        <v>494</v>
      </c>
      <c r="F262" s="212" t="s">
        <v>495</v>
      </c>
      <c r="G262" s="212" t="s">
        <v>297</v>
      </c>
      <c r="H262" s="212" t="s">
        <v>503</v>
      </c>
      <c r="I262" s="290" t="s">
        <v>755</v>
      </c>
      <c r="J262" s="291" t="s">
        <v>756</v>
      </c>
      <c r="K262" s="290" t="s">
        <v>757</v>
      </c>
      <c r="L262" s="290" t="s">
        <v>758</v>
      </c>
      <c r="M262" s="645" t="s">
        <v>1191</v>
      </c>
      <c r="N262" s="213" t="s">
        <v>1173</v>
      </c>
      <c r="O262" s="292"/>
      <c r="P262" s="292"/>
      <c r="Q262" s="293"/>
      <c r="R262" s="251"/>
      <c r="S262" s="251"/>
      <c r="T262" s="294" t="str">
        <f>IF(CampList[[#This Row],[HH]]&gt;0,CampList[[#This Row],[Total]]/CampList[[#This Row],[HH]],"NA")</f>
        <v>NA</v>
      </c>
      <c r="U262" s="197" t="s">
        <v>464</v>
      </c>
      <c r="V262" s="295" t="s">
        <v>995</v>
      </c>
      <c r="W262" s="196" t="s">
        <v>507</v>
      </c>
      <c r="X262" s="196" t="s">
        <v>742</v>
      </c>
      <c r="Y262" s="296"/>
      <c r="Z262" s="293"/>
      <c r="AA262" s="290" t="s">
        <v>774</v>
      </c>
      <c r="AB262" s="225">
        <v>42919</v>
      </c>
      <c r="AC262" s="298" t="s">
        <v>1274</v>
      </c>
      <c r="AD262" s="299" t="str">
        <f ca="1">IFERROR(OFFSET(DistanceToCamp[Nearest Town],MATCH(CampList[[#This Row],[CP_Pcode]],DistanceToCamp[CP_Pcode],0)-1,0,1,1),"")</f>
        <v/>
      </c>
      <c r="AE262" s="300" t="str">
        <f ca="1">IFERROR(OFFSET(DistanceToCamp[distance],MATCH(CampList[[#This Row],[CP_Pcode]],DistanceToCamp[CP_Pcode],0)-1,0,1,1),"")</f>
        <v/>
      </c>
      <c r="AF262" s="301" t="str">
        <f ca="1">IFERROR(INT(CampList[[#This Row],[Distance]]/5)+1,"")</f>
        <v/>
      </c>
    </row>
    <row r="263" spans="2:32" ht="15.75" customHeight="1" x14ac:dyDescent="0.3">
      <c r="B263" s="289" t="s">
        <v>460</v>
      </c>
      <c r="C263" s="212" t="s">
        <v>506</v>
      </c>
      <c r="D263" s="212" t="s">
        <v>489</v>
      </c>
      <c r="E263" s="212" t="s">
        <v>494</v>
      </c>
      <c r="F263" s="212" t="s">
        <v>495</v>
      </c>
      <c r="G263" s="212" t="s">
        <v>297</v>
      </c>
      <c r="H263" s="212" t="s">
        <v>503</v>
      </c>
      <c r="I263" s="290" t="s">
        <v>755</v>
      </c>
      <c r="J263" s="291" t="s">
        <v>756</v>
      </c>
      <c r="K263" s="290" t="s">
        <v>757</v>
      </c>
      <c r="L263" s="290" t="s">
        <v>758</v>
      </c>
      <c r="M263" s="212" t="s">
        <v>1192</v>
      </c>
      <c r="N263" s="213" t="s">
        <v>1174</v>
      </c>
      <c r="O263" s="292"/>
      <c r="P263" s="292"/>
      <c r="Q263" s="293"/>
      <c r="R263" s="251">
        <v>43</v>
      </c>
      <c r="S263" s="251">
        <v>223</v>
      </c>
      <c r="T263" s="294">
        <f>IF(CampList[[#This Row],[HH]]&gt;0,CampList[[#This Row],[Total]]/CampList[[#This Row],[HH]],"NA")</f>
        <v>5.1860465116279073</v>
      </c>
      <c r="U263" s="197" t="s">
        <v>464</v>
      </c>
      <c r="V263" s="295" t="s">
        <v>995</v>
      </c>
      <c r="W263" s="197" t="s">
        <v>507</v>
      </c>
      <c r="X263" s="196" t="s">
        <v>742</v>
      </c>
      <c r="Y263" s="296"/>
      <c r="Z263" s="233" t="s">
        <v>1048</v>
      </c>
      <c r="AA263" s="290" t="s">
        <v>774</v>
      </c>
      <c r="AB263" s="557">
        <v>43230</v>
      </c>
      <c r="AC263" s="298" t="s">
        <v>1732</v>
      </c>
      <c r="AD263" s="299" t="str">
        <f ca="1">IFERROR(OFFSET(DistanceToCamp[Nearest Town],MATCH(CampList[[#This Row],[CP_Pcode]],DistanceToCamp[CP_Pcode],0)-1,0,1,1),"")</f>
        <v/>
      </c>
      <c r="AE263" s="300" t="str">
        <f ca="1">IFERROR(OFFSET(DistanceToCamp[distance],MATCH(CampList[[#This Row],[CP_Pcode]],DistanceToCamp[CP_Pcode],0)-1,0,1,1),"")</f>
        <v/>
      </c>
      <c r="AF263" s="301" t="str">
        <f ca="1">IFERROR(INT(CampList[[#This Row],[Distance]]/5)+1,"")</f>
        <v/>
      </c>
    </row>
    <row r="264" spans="2:32" ht="15.75" hidden="1" customHeight="1" x14ac:dyDescent="0.3">
      <c r="B264" s="289" t="s">
        <v>775</v>
      </c>
      <c r="C264" s="212" t="s">
        <v>506</v>
      </c>
      <c r="D264" s="212" t="s">
        <v>489</v>
      </c>
      <c r="E264" s="212" t="s">
        <v>230</v>
      </c>
      <c r="F264" s="212" t="s">
        <v>490</v>
      </c>
      <c r="G264" s="212" t="s">
        <v>230</v>
      </c>
      <c r="H264" s="212" t="s">
        <v>491</v>
      </c>
      <c r="I264" s="290" t="s">
        <v>899</v>
      </c>
      <c r="J264" s="291" t="s">
        <v>900</v>
      </c>
      <c r="K264" s="290" t="s">
        <v>901</v>
      </c>
      <c r="L264" s="290" t="s">
        <v>902</v>
      </c>
      <c r="M264" s="186" t="s">
        <v>1199</v>
      </c>
      <c r="N264" s="213" t="s">
        <v>1175</v>
      </c>
      <c r="O264" s="292"/>
      <c r="P264" s="292"/>
      <c r="Q264" s="293"/>
      <c r="R264" s="196"/>
      <c r="S264" s="199"/>
      <c r="T264" s="294" t="str">
        <f>IF(CampList[[#This Row],[HH]]&gt;0,CampList[[#This Row],[Total]]/CampList[[#This Row],[HH]],"NA")</f>
        <v>NA</v>
      </c>
      <c r="U264" s="197" t="s">
        <v>464</v>
      </c>
      <c r="V264" s="295" t="s">
        <v>995</v>
      </c>
      <c r="W264" s="196" t="s">
        <v>507</v>
      </c>
      <c r="X264" s="196" t="s">
        <v>742</v>
      </c>
      <c r="Y264" s="296"/>
      <c r="Z264" s="293"/>
      <c r="AA264" s="290" t="s">
        <v>774</v>
      </c>
      <c r="AB264" s="297">
        <v>42831</v>
      </c>
      <c r="AC264" s="298" t="s">
        <v>1227</v>
      </c>
      <c r="AD264" s="299" t="str">
        <f ca="1">IFERROR(OFFSET(DistanceToCamp[Nearest Town],MATCH(CampList[[#This Row],[CP_Pcode]],DistanceToCamp[CP_Pcode],0)-1,0,1,1),"")</f>
        <v/>
      </c>
      <c r="AE264" s="300" t="str">
        <f ca="1">IFERROR(OFFSET(DistanceToCamp[distance],MATCH(CampList[[#This Row],[CP_Pcode]],DistanceToCamp[CP_Pcode],0)-1,0,1,1),"")</f>
        <v/>
      </c>
      <c r="AF264" s="301" t="str">
        <f ca="1">IFERROR(INT(CampList[[#This Row],[Distance]]/5)+1,"")</f>
        <v/>
      </c>
    </row>
    <row r="265" spans="2:32" ht="15.75" hidden="1" customHeight="1" x14ac:dyDescent="0.3">
      <c r="B265" s="289" t="s">
        <v>775</v>
      </c>
      <c r="C265" s="212" t="s">
        <v>506</v>
      </c>
      <c r="D265" s="212" t="s">
        <v>489</v>
      </c>
      <c r="E265" s="212" t="s">
        <v>230</v>
      </c>
      <c r="F265" s="212" t="s">
        <v>490</v>
      </c>
      <c r="G265" s="212" t="s">
        <v>230</v>
      </c>
      <c r="H265" s="212" t="s">
        <v>491</v>
      </c>
      <c r="I265" s="290" t="s">
        <v>899</v>
      </c>
      <c r="J265" s="291" t="s">
        <v>900</v>
      </c>
      <c r="K265" s="290" t="s">
        <v>1203</v>
      </c>
      <c r="L265" s="290" t="s">
        <v>1204</v>
      </c>
      <c r="M265" s="186" t="s">
        <v>1209</v>
      </c>
      <c r="N265" s="213" t="s">
        <v>1176</v>
      </c>
      <c r="O265" s="292"/>
      <c r="P265" s="292"/>
      <c r="Q265" s="293"/>
      <c r="R265" s="196"/>
      <c r="S265" s="199"/>
      <c r="T265" s="294" t="str">
        <f>IF(CampList[[#This Row],[HH]]&gt;0,CampList[[#This Row],[Total]]/CampList[[#This Row],[HH]],"NA")</f>
        <v>NA</v>
      </c>
      <c r="U265" s="197" t="s">
        <v>464</v>
      </c>
      <c r="V265" s="295" t="s">
        <v>995</v>
      </c>
      <c r="W265" s="196" t="s">
        <v>507</v>
      </c>
      <c r="X265" s="196" t="s">
        <v>742</v>
      </c>
      <c r="Y265" s="296"/>
      <c r="Z265" s="293"/>
      <c r="AA265" s="290"/>
      <c r="AB265" s="297">
        <v>42752</v>
      </c>
      <c r="AC265" s="298" t="s">
        <v>1188</v>
      </c>
      <c r="AD265" s="299" t="str">
        <f ca="1">IFERROR(OFFSET(DistanceToCamp[Nearest Town],MATCH(CampList[[#This Row],[CP_Pcode]],DistanceToCamp[CP_Pcode],0)-1,0,1,1),"")</f>
        <v/>
      </c>
      <c r="AE265" s="300" t="str">
        <f ca="1">IFERROR(OFFSET(DistanceToCamp[distance],MATCH(CampList[[#This Row],[CP_Pcode]],DistanceToCamp[CP_Pcode],0)-1,0,1,1),"")</f>
        <v/>
      </c>
      <c r="AF265" s="301" t="str">
        <f ca="1">IFERROR(INT(CampList[[#This Row],[Distance]]/5)+1,"")</f>
        <v/>
      </c>
    </row>
    <row r="266" spans="2:32" ht="15.75" hidden="1" customHeight="1" x14ac:dyDescent="0.3">
      <c r="B266" s="289" t="s">
        <v>775</v>
      </c>
      <c r="C266" s="212" t="s">
        <v>506</v>
      </c>
      <c r="D266" s="212" t="s">
        <v>489</v>
      </c>
      <c r="E266" s="212" t="s">
        <v>230</v>
      </c>
      <c r="F266" s="212" t="s">
        <v>490</v>
      </c>
      <c r="G266" s="212" t="s">
        <v>230</v>
      </c>
      <c r="H266" s="212" t="s">
        <v>491</v>
      </c>
      <c r="I266" s="290" t="s">
        <v>899</v>
      </c>
      <c r="J266" s="291" t="s">
        <v>900</v>
      </c>
      <c r="K266" s="290" t="s">
        <v>1205</v>
      </c>
      <c r="L266" s="290" t="s">
        <v>1206</v>
      </c>
      <c r="M266" s="186" t="s">
        <v>1210</v>
      </c>
      <c r="N266" s="213" t="s">
        <v>1177</v>
      </c>
      <c r="O266" s="292"/>
      <c r="P266" s="292"/>
      <c r="Q266" s="293"/>
      <c r="R266" s="196"/>
      <c r="S266" s="199"/>
      <c r="T266" s="294" t="str">
        <f>IF(CampList[[#This Row],[HH]]&gt;0,CampList[[#This Row],[Total]]/CampList[[#This Row],[HH]],"NA")</f>
        <v>NA</v>
      </c>
      <c r="U266" s="197" t="s">
        <v>464</v>
      </c>
      <c r="V266" s="295" t="s">
        <v>995</v>
      </c>
      <c r="W266" s="196" t="s">
        <v>507</v>
      </c>
      <c r="X266" s="196" t="s">
        <v>742</v>
      </c>
      <c r="Y266" s="296"/>
      <c r="Z266" s="293"/>
      <c r="AA266" s="290"/>
      <c r="AB266" s="297">
        <v>42752</v>
      </c>
      <c r="AC266" s="298" t="s">
        <v>1188</v>
      </c>
      <c r="AD266" s="299" t="str">
        <f ca="1">IFERROR(OFFSET(DistanceToCamp[Nearest Town],MATCH(CampList[[#This Row],[CP_Pcode]],DistanceToCamp[CP_Pcode],0)-1,0,1,1),"")</f>
        <v/>
      </c>
      <c r="AE266" s="300" t="str">
        <f ca="1">IFERROR(OFFSET(DistanceToCamp[distance],MATCH(CampList[[#This Row],[CP_Pcode]],DistanceToCamp[CP_Pcode],0)-1,0,1,1),"")</f>
        <v/>
      </c>
      <c r="AF266" s="301" t="str">
        <f ca="1">IFERROR(INT(CampList[[#This Row],[Distance]]/5)+1,"")</f>
        <v/>
      </c>
    </row>
    <row r="267" spans="2:32" ht="15.75" hidden="1" customHeight="1" x14ac:dyDescent="0.3">
      <c r="B267" s="289" t="s">
        <v>775</v>
      </c>
      <c r="C267" s="212" t="s">
        <v>506</v>
      </c>
      <c r="D267" s="212" t="s">
        <v>489</v>
      </c>
      <c r="E267" s="212" t="s">
        <v>230</v>
      </c>
      <c r="F267" s="212" t="s">
        <v>490</v>
      </c>
      <c r="G267" s="212" t="s">
        <v>230</v>
      </c>
      <c r="H267" s="212" t="s">
        <v>491</v>
      </c>
      <c r="I267" s="290"/>
      <c r="J267" s="291"/>
      <c r="K267" s="290"/>
      <c r="L267" s="290"/>
      <c r="M267" s="186" t="s">
        <v>1200</v>
      </c>
      <c r="N267" s="213" t="s">
        <v>1178</v>
      </c>
      <c r="O267" s="292"/>
      <c r="P267" s="292"/>
      <c r="Q267" s="293"/>
      <c r="R267" s="196"/>
      <c r="S267" s="199"/>
      <c r="T267" s="294" t="str">
        <f>IF(CampList[[#This Row],[HH]]&gt;0,CampList[[#This Row],[Total]]/CampList[[#This Row],[HH]],"NA")</f>
        <v>NA</v>
      </c>
      <c r="U267" s="197" t="s">
        <v>464</v>
      </c>
      <c r="V267" s="295" t="s">
        <v>995</v>
      </c>
      <c r="W267" s="196" t="s">
        <v>507</v>
      </c>
      <c r="X267" s="196"/>
      <c r="Y267" s="296"/>
      <c r="Z267" s="293"/>
      <c r="AA267" s="290" t="s">
        <v>774</v>
      </c>
      <c r="AB267" s="297">
        <v>42831</v>
      </c>
      <c r="AC267" s="298" t="s">
        <v>1227</v>
      </c>
      <c r="AD267" s="299" t="str">
        <f ca="1">IFERROR(OFFSET(DistanceToCamp[Nearest Town],MATCH(CampList[[#This Row],[CP_Pcode]],DistanceToCamp[CP_Pcode],0)-1,0,1,1),"")</f>
        <v/>
      </c>
      <c r="AE267" s="300" t="str">
        <f ca="1">IFERROR(OFFSET(DistanceToCamp[distance],MATCH(CampList[[#This Row],[CP_Pcode]],DistanceToCamp[CP_Pcode],0)-1,0,1,1),"")</f>
        <v/>
      </c>
      <c r="AF267" s="301" t="str">
        <f ca="1">IFERROR(INT(CampList[[#This Row],[Distance]]/5)+1,"")</f>
        <v/>
      </c>
    </row>
    <row r="268" spans="2:32" ht="15.75" hidden="1" customHeight="1" x14ac:dyDescent="0.3">
      <c r="B268" s="289" t="s">
        <v>775</v>
      </c>
      <c r="C268" s="212" t="s">
        <v>506</v>
      </c>
      <c r="D268" s="212" t="s">
        <v>489</v>
      </c>
      <c r="E268" s="212" t="s">
        <v>230</v>
      </c>
      <c r="F268" s="212" t="s">
        <v>490</v>
      </c>
      <c r="G268" s="212" t="s">
        <v>230</v>
      </c>
      <c r="H268" s="212" t="s">
        <v>491</v>
      </c>
      <c r="I268" s="290" t="s">
        <v>899</v>
      </c>
      <c r="J268" s="291" t="s">
        <v>900</v>
      </c>
      <c r="K268" s="290" t="s">
        <v>1207</v>
      </c>
      <c r="L268" s="290" t="s">
        <v>1208</v>
      </c>
      <c r="M268" s="186" t="s">
        <v>1211</v>
      </c>
      <c r="N268" s="213" t="s">
        <v>1179</v>
      </c>
      <c r="O268" s="292"/>
      <c r="P268" s="292"/>
      <c r="Q268" s="293"/>
      <c r="R268" s="196"/>
      <c r="S268" s="199"/>
      <c r="T268" s="294" t="str">
        <f>IF(CampList[[#This Row],[HH]]&gt;0,CampList[[#This Row],[Total]]/CampList[[#This Row],[HH]],"NA")</f>
        <v>NA</v>
      </c>
      <c r="U268" s="197" t="s">
        <v>464</v>
      </c>
      <c r="V268" s="295" t="s">
        <v>995</v>
      </c>
      <c r="W268" s="196" t="s">
        <v>507</v>
      </c>
      <c r="X268" s="196" t="s">
        <v>742</v>
      </c>
      <c r="Y268" s="296"/>
      <c r="Z268" s="293"/>
      <c r="AA268" s="290" t="s">
        <v>774</v>
      </c>
      <c r="AB268" s="297">
        <v>42831</v>
      </c>
      <c r="AC268" s="298" t="s">
        <v>1227</v>
      </c>
      <c r="AD268" s="299" t="str">
        <f ca="1">IFERROR(OFFSET(DistanceToCamp[Nearest Town],MATCH(CampList[[#This Row],[CP_Pcode]],DistanceToCamp[CP_Pcode],0)-1,0,1,1),"")</f>
        <v/>
      </c>
      <c r="AE268" s="300" t="str">
        <f ca="1">IFERROR(OFFSET(DistanceToCamp[distance],MATCH(CampList[[#This Row],[CP_Pcode]],DistanceToCamp[CP_Pcode],0)-1,0,1,1),"")</f>
        <v/>
      </c>
      <c r="AF268" s="301" t="str">
        <f ca="1">IFERROR(INT(CampList[[#This Row],[Distance]]/5)+1,"")</f>
        <v/>
      </c>
    </row>
    <row r="269" spans="2:32" ht="15.75" customHeight="1" x14ac:dyDescent="0.3">
      <c r="B269" s="289" t="s">
        <v>460</v>
      </c>
      <c r="C269" s="212" t="s">
        <v>378</v>
      </c>
      <c r="D269" s="212" t="s">
        <v>478</v>
      </c>
      <c r="E269" s="212" t="s">
        <v>180</v>
      </c>
      <c r="F269" s="212" t="s">
        <v>479</v>
      </c>
      <c r="G269" s="212" t="s">
        <v>480</v>
      </c>
      <c r="H269" s="212" t="s">
        <v>481</v>
      </c>
      <c r="I269" s="212" t="s">
        <v>552</v>
      </c>
      <c r="J269" s="232" t="s">
        <v>553</v>
      </c>
      <c r="K269" s="212" t="s">
        <v>1272</v>
      </c>
      <c r="L269" s="232">
        <v>220486</v>
      </c>
      <c r="M269" s="213" t="s">
        <v>1621</v>
      </c>
      <c r="N269" s="213" t="s">
        <v>1273</v>
      </c>
      <c r="O269" s="292"/>
      <c r="P269" s="292"/>
      <c r="Q269" s="293"/>
      <c r="R269" s="292">
        <v>123</v>
      </c>
      <c r="S269" s="292">
        <v>656</v>
      </c>
      <c r="T269" s="294">
        <f>IF(CampList[[#This Row],[HH]]&gt;0,CampList[[#This Row],[Total]]/CampList[[#This Row],[HH]],"NA")</f>
        <v>5.333333333333333</v>
      </c>
      <c r="U269" s="196" t="s">
        <v>464</v>
      </c>
      <c r="V269" s="295" t="s">
        <v>995</v>
      </c>
      <c r="W269" s="196" t="s">
        <v>507</v>
      </c>
      <c r="X269" s="196" t="s">
        <v>784</v>
      </c>
      <c r="Y269" s="341">
        <v>42887</v>
      </c>
      <c r="Z269" s="293" t="s">
        <v>424</v>
      </c>
      <c r="AA269" s="290" t="s">
        <v>774</v>
      </c>
      <c r="AB269" s="225">
        <v>43235</v>
      </c>
      <c r="AC269" s="312" t="s">
        <v>1781</v>
      </c>
      <c r="AD269" s="299" t="str">
        <f ca="1">IFERROR(OFFSET(DistanceToCamp[Nearest Town],MATCH(CampList[[#This Row],[CP_Pcode]],DistanceToCamp[CP_Pcode],0)-1,0,1,1),"")</f>
        <v>Hpakant Town</v>
      </c>
      <c r="AE269" s="300">
        <f ca="1">IFERROR(OFFSET(DistanceToCamp[distance],MATCH(CampList[[#This Row],[CP_Pcode]],DistanceToCamp[CP_Pcode],0)-1,0,1,1),"")</f>
        <v>0</v>
      </c>
      <c r="AF269" s="301">
        <f ca="1">IFERROR(INT(CampList[[#This Row],[Distance]]/5)+1,"")</f>
        <v>1</v>
      </c>
    </row>
    <row r="270" spans="2:32" ht="15.75" hidden="1" customHeight="1" x14ac:dyDescent="0.3">
      <c r="B270" s="289" t="s">
        <v>775</v>
      </c>
      <c r="C270" s="212" t="s">
        <v>506</v>
      </c>
      <c r="D270" s="212" t="s">
        <v>489</v>
      </c>
      <c r="E270" s="212" t="s">
        <v>230</v>
      </c>
      <c r="F270" s="212" t="s">
        <v>490</v>
      </c>
      <c r="G270" s="212" t="s">
        <v>230</v>
      </c>
      <c r="H270" s="212" t="s">
        <v>491</v>
      </c>
      <c r="I270" s="290" t="s">
        <v>1212</v>
      </c>
      <c r="J270" s="291" t="s">
        <v>1213</v>
      </c>
      <c r="K270" s="290" t="s">
        <v>1214</v>
      </c>
      <c r="L270" s="290">
        <v>208003</v>
      </c>
      <c r="M270" s="186" t="s">
        <v>1215</v>
      </c>
      <c r="N270" s="213" t="s">
        <v>1180</v>
      </c>
      <c r="O270" s="292"/>
      <c r="P270" s="292"/>
      <c r="Q270" s="293"/>
      <c r="R270" s="196"/>
      <c r="S270" s="199"/>
      <c r="T270" s="294" t="str">
        <f>IF(CampList[[#This Row],[HH]]&gt;0,CampList[[#This Row],[Total]]/CampList[[#This Row],[HH]],"NA")</f>
        <v>NA</v>
      </c>
      <c r="U270" s="197" t="s">
        <v>464</v>
      </c>
      <c r="V270" s="295" t="s">
        <v>995</v>
      </c>
      <c r="W270" s="196" t="s">
        <v>507</v>
      </c>
      <c r="X270" s="196" t="s">
        <v>784</v>
      </c>
      <c r="Y270" s="296"/>
      <c r="Z270" s="293"/>
      <c r="AA270" s="290" t="s">
        <v>774</v>
      </c>
      <c r="AB270" s="297">
        <v>42831</v>
      </c>
      <c r="AC270" s="298" t="s">
        <v>1227</v>
      </c>
      <c r="AD270" s="299" t="str">
        <f ca="1">IFERROR(OFFSET(DistanceToCamp[Nearest Town],MATCH(CampList[[#This Row],[CP_Pcode]],DistanceToCamp[CP_Pcode],0)-1,0,1,1),"")</f>
        <v/>
      </c>
      <c r="AE270" s="300" t="str">
        <f ca="1">IFERROR(OFFSET(DistanceToCamp[distance],MATCH(CampList[[#This Row],[CP_Pcode]],DistanceToCamp[CP_Pcode],0)-1,0,1,1),"")</f>
        <v/>
      </c>
      <c r="AF270" s="301" t="str">
        <f ca="1">IFERROR(INT(CampList[[#This Row],[Distance]]/5)+1,"")</f>
        <v/>
      </c>
    </row>
    <row r="271" spans="2:32" ht="15.75" hidden="1" customHeight="1" x14ac:dyDescent="0.3">
      <c r="B271" s="289" t="s">
        <v>775</v>
      </c>
      <c r="C271" s="212" t="s">
        <v>506</v>
      </c>
      <c r="D271" s="212" t="s">
        <v>489</v>
      </c>
      <c r="E271" s="212" t="s">
        <v>230</v>
      </c>
      <c r="F271" s="212" t="s">
        <v>490</v>
      </c>
      <c r="G271" s="212" t="s">
        <v>230</v>
      </c>
      <c r="H271" s="212" t="s">
        <v>491</v>
      </c>
      <c r="I271" s="290" t="s">
        <v>899</v>
      </c>
      <c r="J271" s="291" t="s">
        <v>900</v>
      </c>
      <c r="K271" s="290" t="s">
        <v>901</v>
      </c>
      <c r="L271" s="290" t="s">
        <v>902</v>
      </c>
      <c r="M271" s="186" t="s">
        <v>1193</v>
      </c>
      <c r="N271" s="213" t="s">
        <v>1181</v>
      </c>
      <c r="O271" s="292"/>
      <c r="P271" s="292"/>
      <c r="Q271" s="293"/>
      <c r="R271" s="196"/>
      <c r="S271" s="199"/>
      <c r="T271" s="294" t="str">
        <f>IF(CampList[[#This Row],[HH]]&gt;0,CampList[[#This Row],[Total]]/CampList[[#This Row],[HH]],"NA")</f>
        <v>NA</v>
      </c>
      <c r="U271" s="197" t="s">
        <v>464</v>
      </c>
      <c r="V271" s="295" t="s">
        <v>995</v>
      </c>
      <c r="W271" s="196" t="s">
        <v>507</v>
      </c>
      <c r="X271" s="196" t="s">
        <v>742</v>
      </c>
      <c r="Y271" s="296"/>
      <c r="Z271" s="293"/>
      <c r="AA271" s="290" t="s">
        <v>774</v>
      </c>
      <c r="AB271" s="297">
        <v>42831</v>
      </c>
      <c r="AC271" s="298" t="s">
        <v>1227</v>
      </c>
      <c r="AD271" s="299" t="str">
        <f ca="1">IFERROR(OFFSET(DistanceToCamp[Nearest Town],MATCH(CampList[[#This Row],[CP_Pcode]],DistanceToCamp[CP_Pcode],0)-1,0,1,1),"")</f>
        <v/>
      </c>
      <c r="AE271" s="300" t="str">
        <f ca="1">IFERROR(OFFSET(DistanceToCamp[distance],MATCH(CampList[[#This Row],[CP_Pcode]],DistanceToCamp[CP_Pcode],0)-1,0,1,1),"")</f>
        <v/>
      </c>
      <c r="AF271" s="301" t="str">
        <f ca="1">IFERROR(INT(CampList[[#This Row],[Distance]]/5)+1,"")</f>
        <v/>
      </c>
    </row>
    <row r="272" spans="2:32" ht="15.75" hidden="1" customHeight="1" x14ac:dyDescent="0.3">
      <c r="B272" s="289" t="s">
        <v>775</v>
      </c>
      <c r="C272" s="212" t="s">
        <v>506</v>
      </c>
      <c r="D272" s="212" t="s">
        <v>489</v>
      </c>
      <c r="E272" s="212" t="s">
        <v>230</v>
      </c>
      <c r="F272" s="212" t="s">
        <v>490</v>
      </c>
      <c r="G272" s="212" t="s">
        <v>230</v>
      </c>
      <c r="H272" s="212" t="s">
        <v>491</v>
      </c>
      <c r="I272" s="290" t="s">
        <v>899</v>
      </c>
      <c r="J272" s="291" t="s">
        <v>900</v>
      </c>
      <c r="K272" s="290"/>
      <c r="L272" s="290"/>
      <c r="M272" s="186" t="s">
        <v>1194</v>
      </c>
      <c r="N272" s="213" t="s">
        <v>1182</v>
      </c>
      <c r="O272" s="292"/>
      <c r="P272" s="292"/>
      <c r="Q272" s="293"/>
      <c r="R272" s="196"/>
      <c r="S272" s="199"/>
      <c r="T272" s="294" t="str">
        <f>IF(CampList[[#This Row],[HH]]&gt;0,CampList[[#This Row],[Total]]/CampList[[#This Row],[HH]],"NA")</f>
        <v>NA</v>
      </c>
      <c r="U272" s="197" t="s">
        <v>464</v>
      </c>
      <c r="V272" s="295" t="s">
        <v>995</v>
      </c>
      <c r="W272" s="196" t="s">
        <v>507</v>
      </c>
      <c r="X272" s="196"/>
      <c r="Y272" s="296"/>
      <c r="Z272" s="293"/>
      <c r="AA272" s="290"/>
      <c r="AB272" s="297">
        <v>42752</v>
      </c>
      <c r="AC272" s="298" t="s">
        <v>1188</v>
      </c>
      <c r="AD272" s="299" t="str">
        <f ca="1">IFERROR(OFFSET(DistanceToCamp[Nearest Town],MATCH(CampList[[#This Row],[CP_Pcode]],DistanceToCamp[CP_Pcode],0)-1,0,1,1),"")</f>
        <v/>
      </c>
      <c r="AE272" s="300" t="str">
        <f ca="1">IFERROR(OFFSET(DistanceToCamp[distance],MATCH(CampList[[#This Row],[CP_Pcode]],DistanceToCamp[CP_Pcode],0)-1,0,1,1),"")</f>
        <v/>
      </c>
      <c r="AF272" s="301" t="str">
        <f ca="1">IFERROR(INT(CampList[[#This Row],[Distance]]/5)+1,"")</f>
        <v/>
      </c>
    </row>
    <row r="273" spans="2:32" ht="15.75" hidden="1" customHeight="1" x14ac:dyDescent="0.3">
      <c r="B273" s="289" t="s">
        <v>775</v>
      </c>
      <c r="C273" s="212" t="s">
        <v>506</v>
      </c>
      <c r="D273" s="212" t="s">
        <v>489</v>
      </c>
      <c r="E273" s="212" t="s">
        <v>230</v>
      </c>
      <c r="F273" s="212" t="s">
        <v>490</v>
      </c>
      <c r="G273" s="212" t="s">
        <v>230</v>
      </c>
      <c r="H273" s="212" t="s">
        <v>491</v>
      </c>
      <c r="I273" s="290" t="s">
        <v>899</v>
      </c>
      <c r="J273" s="291" t="s">
        <v>900</v>
      </c>
      <c r="K273" s="290" t="s">
        <v>901</v>
      </c>
      <c r="L273" s="290" t="s">
        <v>902</v>
      </c>
      <c r="M273" s="186" t="s">
        <v>1195</v>
      </c>
      <c r="N273" s="213" t="s">
        <v>1183</v>
      </c>
      <c r="O273" s="292"/>
      <c r="P273" s="292"/>
      <c r="Q273" s="293"/>
      <c r="R273" s="196"/>
      <c r="S273" s="199"/>
      <c r="T273" s="294" t="str">
        <f>IF(CampList[[#This Row],[HH]]&gt;0,CampList[[#This Row],[Total]]/CampList[[#This Row],[HH]],"NA")</f>
        <v>NA</v>
      </c>
      <c r="U273" s="197" t="s">
        <v>464</v>
      </c>
      <c r="V273" s="295" t="s">
        <v>995</v>
      </c>
      <c r="W273" s="196" t="s">
        <v>507</v>
      </c>
      <c r="X273" s="196" t="s">
        <v>742</v>
      </c>
      <c r="Y273" s="296"/>
      <c r="Z273" s="293"/>
      <c r="AA273" s="290" t="s">
        <v>774</v>
      </c>
      <c r="AB273" s="297">
        <v>42831</v>
      </c>
      <c r="AC273" s="298" t="s">
        <v>1227</v>
      </c>
      <c r="AD273" s="299" t="str">
        <f ca="1">IFERROR(OFFSET(DistanceToCamp[Nearest Town],MATCH(CampList[[#This Row],[CP_Pcode]],DistanceToCamp[CP_Pcode],0)-1,0,1,1),"")</f>
        <v/>
      </c>
      <c r="AE273" s="300" t="str">
        <f ca="1">IFERROR(OFFSET(DistanceToCamp[distance],MATCH(CampList[[#This Row],[CP_Pcode]],DistanceToCamp[CP_Pcode],0)-1,0,1,1),"")</f>
        <v/>
      </c>
      <c r="AF273" s="301" t="str">
        <f ca="1">IFERROR(INT(CampList[[#This Row],[Distance]]/5)+1,"")</f>
        <v/>
      </c>
    </row>
    <row r="274" spans="2:32" ht="15.75" customHeight="1" x14ac:dyDescent="0.3">
      <c r="B274" s="218" t="s">
        <v>460</v>
      </c>
      <c r="C274" s="212" t="s">
        <v>506</v>
      </c>
      <c r="D274" s="212" t="s">
        <v>489</v>
      </c>
      <c r="E274" s="212" t="s">
        <v>717</v>
      </c>
      <c r="F274" s="212" t="s">
        <v>718</v>
      </c>
      <c r="G274" s="212" t="s">
        <v>719</v>
      </c>
      <c r="H274" s="212" t="s">
        <v>720</v>
      </c>
      <c r="I274" s="212" t="s">
        <v>1060</v>
      </c>
      <c r="J274" s="212" t="s">
        <v>1061</v>
      </c>
      <c r="K274" s="212" t="s">
        <v>1060</v>
      </c>
      <c r="L274" s="212">
        <v>206352</v>
      </c>
      <c r="M274" s="212" t="s">
        <v>1060</v>
      </c>
      <c r="N274" s="212" t="s">
        <v>1044</v>
      </c>
      <c r="O274" s="251">
        <v>98.218626999999998</v>
      </c>
      <c r="P274" s="251">
        <v>23.354268999999999</v>
      </c>
      <c r="Q274" s="233"/>
      <c r="R274" s="292">
        <v>32</v>
      </c>
      <c r="S274" s="292">
        <v>167</v>
      </c>
      <c r="T274" s="222">
        <f>IF(CampList[[#This Row],[HH]]&gt;0,CampList[[#This Row],[Total]]/CampList[[#This Row],[HH]],"NA")</f>
        <v>5.21875</v>
      </c>
      <c r="U274" s="214" t="s">
        <v>464</v>
      </c>
      <c r="V274" s="214" t="s">
        <v>995</v>
      </c>
      <c r="W274" s="214" t="s">
        <v>507</v>
      </c>
      <c r="X274" s="214" t="s">
        <v>784</v>
      </c>
      <c r="Y274" s="234">
        <v>42036</v>
      </c>
      <c r="Z274" s="224" t="s">
        <v>424</v>
      </c>
      <c r="AA274" s="212" t="s">
        <v>774</v>
      </c>
      <c r="AB274" s="225">
        <v>43235</v>
      </c>
      <c r="AC274" s="226" t="s">
        <v>1793</v>
      </c>
      <c r="AD274" s="214"/>
      <c r="AE274" s="227" t="str">
        <f ca="1">IFERROR(OFFSET(DistanceToCamp[distance],MATCH(CampList[[#This Row],[CP_Pcode]],DistanceToCamp[CP_Pcode],0)-1,0,1,1),"")</f>
        <v/>
      </c>
      <c r="AF274" s="228" t="str">
        <f ca="1">IFERROR(INT(CampList[[#This Row],[Distance]]/5)+1,"")</f>
        <v/>
      </c>
    </row>
    <row r="275" spans="2:32" ht="15.75" customHeight="1" x14ac:dyDescent="0.3">
      <c r="B275" s="218" t="s">
        <v>460</v>
      </c>
      <c r="C275" s="212" t="s">
        <v>506</v>
      </c>
      <c r="D275" s="212" t="s">
        <v>489</v>
      </c>
      <c r="E275" s="212" t="s">
        <v>230</v>
      </c>
      <c r="F275" s="212" t="s">
        <v>490</v>
      </c>
      <c r="G275" s="212" t="s">
        <v>146</v>
      </c>
      <c r="H275" s="212" t="s">
        <v>497</v>
      </c>
      <c r="I275" s="240" t="s">
        <v>662</v>
      </c>
      <c r="J275" s="212" t="s">
        <v>1040</v>
      </c>
      <c r="K275" s="240" t="s">
        <v>662</v>
      </c>
      <c r="L275" s="255">
        <v>208747</v>
      </c>
      <c r="M275" s="213" t="s">
        <v>1651</v>
      </c>
      <c r="N275" s="213" t="s">
        <v>1121</v>
      </c>
      <c r="O275" s="221">
        <v>97.796999999999997</v>
      </c>
      <c r="P275" s="221">
        <v>23.591999999999999</v>
      </c>
      <c r="Q275" s="220"/>
      <c r="R275" s="292">
        <v>108</v>
      </c>
      <c r="S275" s="233">
        <v>527</v>
      </c>
      <c r="T275" s="222">
        <f>IF(CampList[[#This Row],[HH]]&gt;0,CampList[[#This Row],[Total]]/CampList[[#This Row],[HH]],"NA")</f>
        <v>4.8796296296296298</v>
      </c>
      <c r="U275" s="197" t="s">
        <v>464</v>
      </c>
      <c r="V275" s="214" t="s">
        <v>995</v>
      </c>
      <c r="W275" s="197" t="s">
        <v>507</v>
      </c>
      <c r="X275" s="197" t="s">
        <v>784</v>
      </c>
      <c r="Y275" s="234">
        <v>42435</v>
      </c>
      <c r="Z275" s="233" t="s">
        <v>424</v>
      </c>
      <c r="AA275" s="213" t="s">
        <v>774</v>
      </c>
      <c r="AB275" s="225">
        <v>43235</v>
      </c>
      <c r="AC275" s="235" t="s">
        <v>1794</v>
      </c>
      <c r="AD275" s="214"/>
      <c r="AE275" s="227" t="str">
        <f ca="1">IFERROR(OFFSET(DistanceToCamp[distance],MATCH(CampList[[#This Row],[CP_Pcode]],DistanceToCamp[CP_Pcode],0)-1,0,1,1),"")</f>
        <v/>
      </c>
      <c r="AF275" s="237" t="str">
        <f ca="1">IFERROR(INT(CampList[[#This Row],[Distance]]/5)+1,"")</f>
        <v/>
      </c>
    </row>
    <row r="276" spans="2:32" ht="15.75" customHeight="1" x14ac:dyDescent="0.3">
      <c r="B276" s="289" t="s">
        <v>460</v>
      </c>
      <c r="C276" s="212" t="s">
        <v>378</v>
      </c>
      <c r="D276" s="212" t="s">
        <v>478</v>
      </c>
      <c r="E276" s="212" t="s">
        <v>237</v>
      </c>
      <c r="F276" s="213" t="s">
        <v>484</v>
      </c>
      <c r="G276" s="212" t="s">
        <v>1137</v>
      </c>
      <c r="H276" s="212" t="s">
        <v>1136</v>
      </c>
      <c r="I276" s="727" t="s">
        <v>1872</v>
      </c>
      <c r="J276" s="727" t="s">
        <v>1873</v>
      </c>
      <c r="K276" s="212"/>
      <c r="L276" s="212"/>
      <c r="M276" s="213" t="s">
        <v>1413</v>
      </c>
      <c r="N276" s="407" t="s">
        <v>1416</v>
      </c>
      <c r="O276" s="219"/>
      <c r="P276" s="219"/>
      <c r="Q276" s="233"/>
      <c r="R276" s="302">
        <v>30</v>
      </c>
      <c r="S276" s="303">
        <v>130</v>
      </c>
      <c r="T276" s="222">
        <f>IF(CampList[[#This Row],[HH]]&gt;0,CampList[[#This Row],[Total]]/CampList[[#This Row],[HH]],"NA")</f>
        <v>4.333333333333333</v>
      </c>
      <c r="U276" s="197" t="s">
        <v>464</v>
      </c>
      <c r="V276" s="214" t="s">
        <v>995</v>
      </c>
      <c r="W276" s="214" t="s">
        <v>1391</v>
      </c>
      <c r="X276" s="214" t="s">
        <v>742</v>
      </c>
      <c r="Y276" s="223">
        <v>42741</v>
      </c>
      <c r="Z276" s="224" t="s">
        <v>1322</v>
      </c>
      <c r="AA276" s="239" t="s">
        <v>774</v>
      </c>
      <c r="AB276" s="225" t="s">
        <v>1559</v>
      </c>
      <c r="AC276" s="218"/>
      <c r="AD276" s="236" t="str">
        <f ca="1">IFERROR(OFFSET(DistanceToCamp[Nearest Town],MATCH(CampList[[#This Row],[CP_Pcode]],DistanceToCamp[CP_Pcode],0)-1,0,1,1),"")</f>
        <v>Tanai Town</v>
      </c>
      <c r="AE276" s="227">
        <f ca="1">IFERROR(OFFSET(DistanceToCamp[distance],MATCH(CampList[[#This Row],[CP_Pcode]],DistanceToCamp[CP_Pcode],0)-1,0,1,1),"")</f>
        <v>0</v>
      </c>
      <c r="AF276" s="237">
        <f ca="1">IFERROR(INT(CampList[[#This Row],[Distance]]/5)+1,"")</f>
        <v>1</v>
      </c>
    </row>
    <row r="277" spans="2:32" ht="15.75" customHeight="1" x14ac:dyDescent="0.3">
      <c r="B277" s="289" t="s">
        <v>460</v>
      </c>
      <c r="C277" s="212" t="s">
        <v>378</v>
      </c>
      <c r="D277" s="212" t="s">
        <v>478</v>
      </c>
      <c r="E277" s="212" t="s">
        <v>237</v>
      </c>
      <c r="F277" s="213" t="s">
        <v>484</v>
      </c>
      <c r="G277" s="212" t="s">
        <v>1137</v>
      </c>
      <c r="H277" s="212" t="s">
        <v>1136</v>
      </c>
      <c r="I277" s="727" t="s">
        <v>1872</v>
      </c>
      <c r="J277" s="727" t="s">
        <v>1873</v>
      </c>
      <c r="K277" s="212"/>
      <c r="L277" s="212"/>
      <c r="M277" s="213" t="s">
        <v>1404</v>
      </c>
      <c r="N277" s="212" t="s">
        <v>1417</v>
      </c>
      <c r="O277" s="219"/>
      <c r="P277" s="219"/>
      <c r="Q277" s="233"/>
      <c r="R277" s="302">
        <v>42</v>
      </c>
      <c r="S277" s="303">
        <v>190</v>
      </c>
      <c r="T277" s="222">
        <f>IF(CampList[[#This Row],[HH]]&gt;0,CampList[[#This Row],[Total]]/CampList[[#This Row],[HH]],"NA")</f>
        <v>4.5238095238095237</v>
      </c>
      <c r="U277" s="197" t="s">
        <v>464</v>
      </c>
      <c r="V277" s="214" t="s">
        <v>995</v>
      </c>
      <c r="W277" s="214" t="s">
        <v>1391</v>
      </c>
      <c r="X277" s="214" t="s">
        <v>742</v>
      </c>
      <c r="Y277" s="223">
        <v>42741</v>
      </c>
      <c r="Z277" s="224" t="s">
        <v>1322</v>
      </c>
      <c r="AA277" s="239" t="s">
        <v>774</v>
      </c>
      <c r="AB277" s="225" t="s">
        <v>1559</v>
      </c>
      <c r="AC277" s="218"/>
      <c r="AD277" s="236" t="str">
        <f ca="1">IFERROR(OFFSET(DistanceToCamp[Nearest Town],MATCH(CampList[[#This Row],[CP_Pcode]],DistanceToCamp[CP_Pcode],0)-1,0,1,1),"")</f>
        <v>Tanai Town</v>
      </c>
      <c r="AE277" s="227">
        <f ca="1">IFERROR(OFFSET(DistanceToCamp[distance],MATCH(CampList[[#This Row],[CP_Pcode]],DistanceToCamp[CP_Pcode],0)-1,0,1,1),"")</f>
        <v>0</v>
      </c>
      <c r="AF277" s="237">
        <f ca="1">IFERROR(INT(CampList[[#This Row],[Distance]]/5)+1,"")</f>
        <v>1</v>
      </c>
    </row>
    <row r="278" spans="2:32" ht="15.75" customHeight="1" x14ac:dyDescent="0.3">
      <c r="B278" s="289" t="s">
        <v>460</v>
      </c>
      <c r="C278" s="212" t="s">
        <v>378</v>
      </c>
      <c r="D278" s="212" t="s">
        <v>478</v>
      </c>
      <c r="E278" s="212" t="s">
        <v>237</v>
      </c>
      <c r="F278" s="213" t="s">
        <v>484</v>
      </c>
      <c r="G278" s="212" t="s">
        <v>1137</v>
      </c>
      <c r="H278" s="212" t="s">
        <v>1136</v>
      </c>
      <c r="I278" s="727" t="s">
        <v>1872</v>
      </c>
      <c r="J278" s="727" t="s">
        <v>1873</v>
      </c>
      <c r="K278" s="212"/>
      <c r="L278" s="212"/>
      <c r="M278" s="213" t="s">
        <v>1405</v>
      </c>
      <c r="N278" s="212" t="s">
        <v>1418</v>
      </c>
      <c r="O278" s="219"/>
      <c r="P278" s="219"/>
      <c r="Q278" s="233"/>
      <c r="R278" s="302">
        <v>127</v>
      </c>
      <c r="S278" s="303">
        <v>450</v>
      </c>
      <c r="T278" s="222">
        <f>IF(CampList[[#This Row],[HH]]&gt;0,CampList[[#This Row],[Total]]/CampList[[#This Row],[HH]],"NA")</f>
        <v>3.5433070866141732</v>
      </c>
      <c r="U278" s="197" t="s">
        <v>464</v>
      </c>
      <c r="V278" s="214" t="s">
        <v>995</v>
      </c>
      <c r="W278" s="214" t="s">
        <v>1391</v>
      </c>
      <c r="X278" s="214" t="s">
        <v>742</v>
      </c>
      <c r="Y278" s="223">
        <v>42741</v>
      </c>
      <c r="Z278" s="224" t="s">
        <v>1322</v>
      </c>
      <c r="AA278" s="239" t="s">
        <v>774</v>
      </c>
      <c r="AB278" s="225" t="s">
        <v>1559</v>
      </c>
      <c r="AC278" s="218"/>
      <c r="AD278" s="236" t="str">
        <f ca="1">IFERROR(OFFSET(DistanceToCamp[Nearest Town],MATCH(CampList[[#This Row],[CP_Pcode]],DistanceToCamp[CP_Pcode],0)-1,0,1,1),"")</f>
        <v>Tanai Town</v>
      </c>
      <c r="AE278" s="227">
        <f ca="1">IFERROR(OFFSET(DistanceToCamp[distance],MATCH(CampList[[#This Row],[CP_Pcode]],DistanceToCamp[CP_Pcode],0)-1,0,1,1),"")</f>
        <v>0</v>
      </c>
      <c r="AF278" s="237">
        <f ca="1">IFERROR(INT(CampList[[#This Row],[Distance]]/5)+1,"")</f>
        <v>1</v>
      </c>
    </row>
    <row r="279" spans="2:32" ht="15.75" customHeight="1" x14ac:dyDescent="0.3">
      <c r="B279" s="289" t="s">
        <v>460</v>
      </c>
      <c r="C279" s="212" t="s">
        <v>378</v>
      </c>
      <c r="D279" s="212" t="s">
        <v>478</v>
      </c>
      <c r="E279" s="212" t="s">
        <v>237</v>
      </c>
      <c r="F279" s="213" t="s">
        <v>484</v>
      </c>
      <c r="G279" s="212" t="s">
        <v>1137</v>
      </c>
      <c r="H279" s="212" t="s">
        <v>1136</v>
      </c>
      <c r="I279" s="727" t="s">
        <v>1872</v>
      </c>
      <c r="J279" s="727" t="s">
        <v>1873</v>
      </c>
      <c r="K279" s="212"/>
      <c r="L279" s="212"/>
      <c r="M279" s="213" t="s">
        <v>1406</v>
      </c>
      <c r="N279" s="212" t="s">
        <v>1419</v>
      </c>
      <c r="O279" s="219"/>
      <c r="P279" s="219"/>
      <c r="Q279" s="233"/>
      <c r="R279" s="302">
        <v>36</v>
      </c>
      <c r="S279" s="303">
        <v>145</v>
      </c>
      <c r="T279" s="222">
        <f>IF(CampList[[#This Row],[HH]]&gt;0,CampList[[#This Row],[Total]]/CampList[[#This Row],[HH]],"NA")</f>
        <v>4.0277777777777777</v>
      </c>
      <c r="U279" s="197" t="s">
        <v>464</v>
      </c>
      <c r="V279" s="214" t="s">
        <v>995</v>
      </c>
      <c r="W279" s="214" t="s">
        <v>1391</v>
      </c>
      <c r="X279" s="214" t="s">
        <v>742</v>
      </c>
      <c r="Y279" s="223">
        <v>42741</v>
      </c>
      <c r="Z279" s="224" t="s">
        <v>1322</v>
      </c>
      <c r="AA279" s="239" t="s">
        <v>774</v>
      </c>
      <c r="AB279" s="225" t="s">
        <v>1559</v>
      </c>
      <c r="AC279" s="218"/>
      <c r="AD279" s="236" t="str">
        <f ca="1">IFERROR(OFFSET(DistanceToCamp[Nearest Town],MATCH(CampList[[#This Row],[CP_Pcode]],DistanceToCamp[CP_Pcode],0)-1,0,1,1),"")</f>
        <v>Tanai Town</v>
      </c>
      <c r="AE279" s="227">
        <f ca="1">IFERROR(OFFSET(DistanceToCamp[distance],MATCH(CampList[[#This Row],[CP_Pcode]],DistanceToCamp[CP_Pcode],0)-1,0,1,1),"")</f>
        <v>0</v>
      </c>
      <c r="AF279" s="237">
        <f ca="1">IFERROR(INT(CampList[[#This Row],[Distance]]/5)+1,"")</f>
        <v>1</v>
      </c>
    </row>
    <row r="280" spans="2:32" ht="15.75" hidden="1" customHeight="1" x14ac:dyDescent="0.3">
      <c r="B280" s="289" t="s">
        <v>775</v>
      </c>
      <c r="C280" s="212" t="s">
        <v>506</v>
      </c>
      <c r="D280" s="212" t="s">
        <v>489</v>
      </c>
      <c r="E280" s="212" t="s">
        <v>230</v>
      </c>
      <c r="F280" s="212" t="s">
        <v>490</v>
      </c>
      <c r="G280" s="212" t="s">
        <v>230</v>
      </c>
      <c r="H280" s="212" t="s">
        <v>491</v>
      </c>
      <c r="I280" s="290" t="s">
        <v>899</v>
      </c>
      <c r="J280" s="291" t="s">
        <v>900</v>
      </c>
      <c r="K280" s="290" t="s">
        <v>901</v>
      </c>
      <c r="L280" s="290" t="s">
        <v>902</v>
      </c>
      <c r="M280" s="186" t="s">
        <v>1196</v>
      </c>
      <c r="N280" s="213" t="s">
        <v>1184</v>
      </c>
      <c r="O280" s="292"/>
      <c r="P280" s="292"/>
      <c r="Q280" s="293"/>
      <c r="R280" s="196"/>
      <c r="S280" s="199"/>
      <c r="T280" s="294" t="str">
        <f>IF(CampList[[#This Row],[HH]]&gt;0,CampList[[#This Row],[Total]]/CampList[[#This Row],[HH]],"NA")</f>
        <v>NA</v>
      </c>
      <c r="U280" s="197" t="s">
        <v>464</v>
      </c>
      <c r="V280" s="295" t="s">
        <v>995</v>
      </c>
      <c r="W280" s="196" t="s">
        <v>507</v>
      </c>
      <c r="X280" s="196" t="s">
        <v>742</v>
      </c>
      <c r="Y280" s="296"/>
      <c r="Z280" s="293"/>
      <c r="AA280" s="290" t="s">
        <v>774</v>
      </c>
      <c r="AB280" s="297">
        <v>42831</v>
      </c>
      <c r="AC280" s="298" t="s">
        <v>1227</v>
      </c>
      <c r="AD280" s="299" t="str">
        <f ca="1">IFERROR(OFFSET(DistanceToCamp[Nearest Town],MATCH(CampList[[#This Row],[CP_Pcode]],DistanceToCamp[CP_Pcode],0)-1,0,1,1),"")</f>
        <v/>
      </c>
      <c r="AE280" s="300" t="str">
        <f ca="1">IFERROR(OFFSET(DistanceToCamp[distance],MATCH(CampList[[#This Row],[CP_Pcode]],DistanceToCamp[CP_Pcode],0)-1,0,1,1),"")</f>
        <v/>
      </c>
      <c r="AF280" s="301" t="str">
        <f ca="1">IFERROR(INT(CampList[[#This Row],[Distance]]/5)+1,"")</f>
        <v/>
      </c>
    </row>
    <row r="281" spans="2:32" ht="15.75" hidden="1" customHeight="1" x14ac:dyDescent="0.3">
      <c r="B281" s="289" t="s">
        <v>775</v>
      </c>
      <c r="C281" s="212" t="s">
        <v>378</v>
      </c>
      <c r="D281" s="212" t="s">
        <v>478</v>
      </c>
      <c r="E281" s="212" t="s">
        <v>180</v>
      </c>
      <c r="F281" s="212" t="s">
        <v>479</v>
      </c>
      <c r="G281" s="212" t="s">
        <v>173</v>
      </c>
      <c r="H281" s="213" t="s">
        <v>498</v>
      </c>
      <c r="I281" s="728" t="s">
        <v>1846</v>
      </c>
      <c r="J281" s="728" t="s">
        <v>1845</v>
      </c>
      <c r="K281" s="727" t="s">
        <v>1870</v>
      </c>
      <c r="L281" s="727" t="s">
        <v>1871</v>
      </c>
      <c r="M281" s="212" t="s">
        <v>1534</v>
      </c>
      <c r="N281" s="212" t="s">
        <v>1564</v>
      </c>
      <c r="O281" s="219"/>
      <c r="P281" s="219"/>
      <c r="Q281" s="233"/>
      <c r="R281" s="196">
        <v>245</v>
      </c>
      <c r="S281" s="310">
        <v>1084</v>
      </c>
      <c r="T281" s="222">
        <f>IF(CampList[[#This Row],[HH]]&gt;0,CampList[[#This Row],[Total]]/CampList[[#This Row],[HH]],"NA")</f>
        <v>4.4244897959183671</v>
      </c>
      <c r="U281" s="214" t="s">
        <v>464</v>
      </c>
      <c r="V281" s="214" t="s">
        <v>995</v>
      </c>
      <c r="W281" s="214" t="s">
        <v>1391</v>
      </c>
      <c r="X281" s="214" t="s">
        <v>742</v>
      </c>
      <c r="Y281" s="331">
        <v>42962</v>
      </c>
      <c r="Z281" s="223"/>
      <c r="AA281" s="212" t="s">
        <v>774</v>
      </c>
      <c r="AB281" s="225" t="s">
        <v>1535</v>
      </c>
      <c r="AC281" s="226" t="s">
        <v>1547</v>
      </c>
      <c r="AD281" s="236" t="str">
        <f ca="1">IFERROR(OFFSET(DistanceToCamp[Nearest Town],MATCH(CampList[[#This Row],[CP_Pcode]],DistanceToCamp[CP_Pcode],0)-1,0,1,1),"")</f>
        <v/>
      </c>
      <c r="AE281" s="227" t="str">
        <f ca="1">IFERROR(OFFSET(DistanceToCamp[distance],MATCH(CampList[[#This Row],[CP_Pcode]],DistanceToCamp[CP_Pcode],0)-1,0,1,1),"")</f>
        <v/>
      </c>
      <c r="AF281" s="237" t="str">
        <f ca="1">IFERROR(INT(CampList[[#This Row],[Distance]]/5)+1,"")</f>
        <v/>
      </c>
    </row>
    <row r="282" spans="2:32" ht="15.75" customHeight="1" x14ac:dyDescent="0.3">
      <c r="B282" s="289" t="s">
        <v>460</v>
      </c>
      <c r="C282" s="212" t="s">
        <v>378</v>
      </c>
      <c r="D282" s="212" t="s">
        <v>478</v>
      </c>
      <c r="E282" s="212" t="s">
        <v>237</v>
      </c>
      <c r="F282" s="213" t="s">
        <v>484</v>
      </c>
      <c r="G282" s="212" t="s">
        <v>237</v>
      </c>
      <c r="H282" s="212" t="s">
        <v>488</v>
      </c>
      <c r="I282" s="212" t="s">
        <v>611</v>
      </c>
      <c r="J282" s="232"/>
      <c r="K282" s="212" t="s">
        <v>1528</v>
      </c>
      <c r="L282" s="212"/>
      <c r="M282" s="212" t="s">
        <v>1529</v>
      </c>
      <c r="N282" s="212" t="s">
        <v>1565</v>
      </c>
      <c r="O282" s="219"/>
      <c r="P282" s="219"/>
      <c r="Q282" s="233"/>
      <c r="R282" s="196">
        <v>19</v>
      </c>
      <c r="S282" s="310">
        <v>46</v>
      </c>
      <c r="T282" s="222">
        <f>IF(CampList[[#This Row],[HH]]&gt;0,CampList[[#This Row],[Total]]/CampList[[#This Row],[HH]],"NA")</f>
        <v>2.4210526315789473</v>
      </c>
      <c r="U282" s="214" t="s">
        <v>464</v>
      </c>
      <c r="V282" s="214" t="s">
        <v>995</v>
      </c>
      <c r="W282" s="214" t="s">
        <v>1391</v>
      </c>
      <c r="X282" s="214" t="s">
        <v>742</v>
      </c>
      <c r="Y282" s="223">
        <v>42929</v>
      </c>
      <c r="Z282" s="223" t="s">
        <v>1322</v>
      </c>
      <c r="AA282" s="212" t="s">
        <v>774</v>
      </c>
      <c r="AB282" s="225">
        <v>43164</v>
      </c>
      <c r="AC282" s="226" t="s">
        <v>1598</v>
      </c>
      <c r="AD282" s="236" t="str">
        <f ca="1">IFERROR(OFFSET(DistanceToCamp[Nearest Town],MATCH(CampList[[#This Row],[CP_Pcode]],DistanceToCamp[CP_Pcode],0)-1,0,1,1),"")</f>
        <v>Myitkyina Town</v>
      </c>
      <c r="AE282" s="227">
        <f ca="1">IFERROR(OFFSET(DistanceToCamp[distance],MATCH(CampList[[#This Row],[CP_Pcode]],DistanceToCamp[CP_Pcode],0)-1,0,1,1),"")</f>
        <v>0</v>
      </c>
      <c r="AF282" s="237">
        <f ca="1">IFERROR(INT(CampList[[#This Row],[Distance]]/5)+1,"")</f>
        <v>1</v>
      </c>
    </row>
    <row r="283" spans="2:32" ht="15.75" hidden="1" customHeight="1" x14ac:dyDescent="0.3">
      <c r="B283" s="218" t="s">
        <v>1554</v>
      </c>
      <c r="C283" s="212" t="s">
        <v>378</v>
      </c>
      <c r="D283" s="212" t="s">
        <v>478</v>
      </c>
      <c r="E283" s="212" t="s">
        <v>237</v>
      </c>
      <c r="F283" s="213" t="s">
        <v>484</v>
      </c>
      <c r="G283" s="212" t="s">
        <v>237</v>
      </c>
      <c r="H283" s="212" t="s">
        <v>488</v>
      </c>
      <c r="I283" s="212" t="s">
        <v>611</v>
      </c>
      <c r="J283" s="232"/>
      <c r="K283" s="727" t="s">
        <v>1868</v>
      </c>
      <c r="L283" s="727" t="s">
        <v>1869</v>
      </c>
      <c r="M283" s="212" t="s">
        <v>1543</v>
      </c>
      <c r="N283" s="212" t="s">
        <v>1566</v>
      </c>
      <c r="O283" s="219"/>
      <c r="P283" s="219"/>
      <c r="Q283" s="233"/>
      <c r="R283" s="196">
        <v>25</v>
      </c>
      <c r="S283" s="310">
        <v>69</v>
      </c>
      <c r="T283" s="222">
        <f>IF(CampList[[#This Row],[HH]]&gt;0,CampList[[#This Row],[Total]]/CampList[[#This Row],[HH]],"NA")</f>
        <v>2.76</v>
      </c>
      <c r="U283" s="214" t="s">
        <v>464</v>
      </c>
      <c r="V283" s="214" t="s">
        <v>995</v>
      </c>
      <c r="W283" s="214" t="s">
        <v>1391</v>
      </c>
      <c r="X283" s="214" t="s">
        <v>742</v>
      </c>
      <c r="Y283" s="331">
        <v>42963</v>
      </c>
      <c r="Z283" s="223" t="s">
        <v>1322</v>
      </c>
      <c r="AA283" s="212" t="s">
        <v>774</v>
      </c>
      <c r="AB283" s="225" t="s">
        <v>1535</v>
      </c>
      <c r="AC283" s="226" t="s">
        <v>1544</v>
      </c>
      <c r="AD283" s="236" t="str">
        <f ca="1">IFERROR(OFFSET(DistanceToCamp[Nearest Town],MATCH(CampList[[#This Row],[CP_Pcode]],DistanceToCamp[CP_Pcode],0)-1,0,1,1),"")</f>
        <v/>
      </c>
      <c r="AE283" s="227" t="str">
        <f ca="1">IFERROR(OFFSET(DistanceToCamp[distance],MATCH(CampList[[#This Row],[CP_Pcode]],DistanceToCamp[CP_Pcode],0)-1,0,1,1),"")</f>
        <v/>
      </c>
      <c r="AF283" s="237" t="str">
        <f ca="1">IFERROR(INT(CampList[[#This Row],[Distance]]/5)+1,"")</f>
        <v/>
      </c>
    </row>
    <row r="284" spans="2:32" ht="15.75" customHeight="1" x14ac:dyDescent="0.3">
      <c r="B284" s="289" t="s">
        <v>460</v>
      </c>
      <c r="C284" s="212" t="s">
        <v>378</v>
      </c>
      <c r="D284" s="212" t="s">
        <v>478</v>
      </c>
      <c r="E284" s="212" t="s">
        <v>1550</v>
      </c>
      <c r="F284" s="213" t="s">
        <v>484</v>
      </c>
      <c r="G284" s="212" t="s">
        <v>309</v>
      </c>
      <c r="H284" s="212" t="s">
        <v>485</v>
      </c>
      <c r="I284" s="212" t="s">
        <v>1013</v>
      </c>
      <c r="J284" s="232" t="s">
        <v>1865</v>
      </c>
      <c r="K284" s="212" t="s">
        <v>1866</v>
      </c>
      <c r="L284" s="727" t="s">
        <v>1867</v>
      </c>
      <c r="M284" s="212" t="s">
        <v>1263</v>
      </c>
      <c r="N284" s="212" t="s">
        <v>1567</v>
      </c>
      <c r="O284" s="219"/>
      <c r="P284" s="219"/>
      <c r="Q284" s="233"/>
      <c r="R284" s="302">
        <v>80</v>
      </c>
      <c r="S284" s="303">
        <v>449</v>
      </c>
      <c r="T284" s="222">
        <f>IF(CampList[[#This Row],[HH]]&gt;0,CampList[[#This Row],[Total]]/CampList[[#This Row],[HH]],"NA")</f>
        <v>5.6124999999999998</v>
      </c>
      <c r="U284" s="214" t="s">
        <v>464</v>
      </c>
      <c r="V284" s="214" t="s">
        <v>995</v>
      </c>
      <c r="W284" s="214" t="s">
        <v>1391</v>
      </c>
      <c r="X284" s="214" t="s">
        <v>784</v>
      </c>
      <c r="Y284" s="223">
        <v>42751</v>
      </c>
      <c r="Z284" s="224" t="s">
        <v>1322</v>
      </c>
      <c r="AA284" s="239" t="s">
        <v>774</v>
      </c>
      <c r="AB284" s="225">
        <v>43039</v>
      </c>
      <c r="AC284" s="218" t="s">
        <v>1557</v>
      </c>
      <c r="AD284" s="236" t="str">
        <f ca="1">IFERROR(OFFSET(DistanceToCamp[Nearest Town],MATCH(CampList[[#This Row],[CP_Pcode]],DistanceToCamp[CP_Pcode],0)-1,0,1,1),"")</f>
        <v>Sadung Town</v>
      </c>
      <c r="AE284" s="227">
        <f ca="1">IFERROR(OFFSET(DistanceToCamp[distance],MATCH(CampList[[#This Row],[CP_Pcode]],DistanceToCamp[CP_Pcode],0)-1,0,1,1),"")</f>
        <v>0</v>
      </c>
      <c r="AF284" s="237">
        <f ca="1">IFERROR(INT(CampList[[#This Row],[Distance]]/5)+1,"")</f>
        <v>1</v>
      </c>
    </row>
    <row r="285" spans="2:32" ht="15.75" customHeight="1" x14ac:dyDescent="0.3">
      <c r="B285" s="289" t="s">
        <v>460</v>
      </c>
      <c r="C285" s="212" t="s">
        <v>378</v>
      </c>
      <c r="D285" s="212" t="s">
        <v>478</v>
      </c>
      <c r="E285" s="212" t="s">
        <v>180</v>
      </c>
      <c r="F285" s="212" t="s">
        <v>479</v>
      </c>
      <c r="G285" s="212" t="s">
        <v>173</v>
      </c>
      <c r="H285" s="212" t="s">
        <v>498</v>
      </c>
      <c r="I285" s="212" t="s">
        <v>1846</v>
      </c>
      <c r="J285" s="232" t="s">
        <v>1845</v>
      </c>
      <c r="K285" s="212" t="s">
        <v>1849</v>
      </c>
      <c r="L285" s="212" t="s">
        <v>1850</v>
      </c>
      <c r="M285" s="212" t="s">
        <v>1851</v>
      </c>
      <c r="N285" s="212" t="s">
        <v>1839</v>
      </c>
      <c r="O285" s="219">
        <v>97.010629910000006</v>
      </c>
      <c r="P285" s="219">
        <v>25.370330525559201</v>
      </c>
      <c r="Q285" s="233"/>
      <c r="R285" s="196">
        <v>45</v>
      </c>
      <c r="S285" s="310">
        <v>212</v>
      </c>
      <c r="T285" s="222">
        <f>IF(CampList[[#This Row],[HH]]&gt;0,CampList[[#This Row],[Total]]/CampList[[#This Row],[HH]],"NA")</f>
        <v>4.7111111111111112</v>
      </c>
      <c r="U285" s="214" t="s">
        <v>464</v>
      </c>
      <c r="V285" s="214" t="s">
        <v>995</v>
      </c>
      <c r="W285" s="214" t="s">
        <v>1391</v>
      </c>
      <c r="X285" s="214" t="s">
        <v>742</v>
      </c>
      <c r="Y285" s="331">
        <v>42847</v>
      </c>
      <c r="Z285" s="223" t="s">
        <v>1322</v>
      </c>
      <c r="AA285" s="212" t="s">
        <v>774</v>
      </c>
      <c r="AB285" s="225">
        <v>43241</v>
      </c>
      <c r="AC285" s="226" t="s">
        <v>1854</v>
      </c>
      <c r="AD285" s="236" t="str">
        <f ca="1">IFERROR(OFFSET(DistanceToCamp[Nearest Town],MATCH(CampList[[#This Row],[CP_Pcode]],DistanceToCamp[CP_Pcode],0)-1,0,1,1),"")</f>
        <v>Panmatee Town</v>
      </c>
      <c r="AE285" s="227">
        <f ca="1">IFERROR(OFFSET(DistanceToCamp[distance],MATCH(CampList[[#This Row],[CP_Pcode]],DistanceToCamp[CP_Pcode],0)-1,0,1,1),"")</f>
        <v>0.4</v>
      </c>
      <c r="AF285" s="237">
        <f ca="1">IFERROR(INT(CampList[[#This Row],[Distance]]/5)+1,"")</f>
        <v>1</v>
      </c>
    </row>
    <row r="286" spans="2:32" ht="15.75" customHeight="1" x14ac:dyDescent="0.3">
      <c r="B286" s="289" t="s">
        <v>460</v>
      </c>
      <c r="C286" s="212" t="s">
        <v>378</v>
      </c>
      <c r="D286" s="212" t="s">
        <v>478</v>
      </c>
      <c r="E286" s="212" t="s">
        <v>180</v>
      </c>
      <c r="F286" s="212" t="s">
        <v>479</v>
      </c>
      <c r="G286" s="212" t="s">
        <v>173</v>
      </c>
      <c r="H286" s="212" t="s">
        <v>498</v>
      </c>
      <c r="I286" s="212" t="s">
        <v>1847</v>
      </c>
      <c r="J286" s="232" t="s">
        <v>1848</v>
      </c>
      <c r="K286" s="212" t="s">
        <v>1847</v>
      </c>
      <c r="L286" s="232">
        <v>166765</v>
      </c>
      <c r="M286" s="212" t="s">
        <v>1852</v>
      </c>
      <c r="N286" s="212" t="s">
        <v>1840</v>
      </c>
      <c r="O286" s="219">
        <v>97.013800000000003</v>
      </c>
      <c r="P286" s="219">
        <v>25.383465999999999</v>
      </c>
      <c r="Q286" s="233"/>
      <c r="R286" s="196">
        <v>89</v>
      </c>
      <c r="S286" s="310">
        <v>372</v>
      </c>
      <c r="T286" s="222">
        <f>IF(CampList[[#This Row],[HH]]&gt;0,CampList[[#This Row],[Total]]/CampList[[#This Row],[HH]],"NA")</f>
        <v>4.1797752808988768</v>
      </c>
      <c r="U286" s="214" t="s">
        <v>464</v>
      </c>
      <c r="V286" s="214" t="s">
        <v>995</v>
      </c>
      <c r="W286" s="214" t="s">
        <v>1391</v>
      </c>
      <c r="X286" s="214" t="s">
        <v>742</v>
      </c>
      <c r="Y286" s="331">
        <v>42847</v>
      </c>
      <c r="Z286" s="223" t="s">
        <v>1322</v>
      </c>
      <c r="AA286" s="212" t="s">
        <v>774</v>
      </c>
      <c r="AB286" s="225">
        <v>43241</v>
      </c>
      <c r="AC286" s="226" t="s">
        <v>1854</v>
      </c>
      <c r="AD286" s="236" t="str">
        <f ca="1">IFERROR(OFFSET(DistanceToCamp[Nearest Town],MATCH(CampList[[#This Row],[CP_Pcode]],DistanceToCamp[CP_Pcode],0)-1,0,1,1),"")</f>
        <v>Panmatee Town</v>
      </c>
      <c r="AE286" s="227">
        <f ca="1">IFERROR(OFFSET(DistanceToCamp[distance],MATCH(CampList[[#This Row],[CP_Pcode]],DistanceToCamp[CP_Pcode],0)-1,0,1,1),"")</f>
        <v>0.4</v>
      </c>
      <c r="AF286" s="237">
        <f ca="1">IFERROR(INT(CampList[[#This Row],[Distance]]/5)+1,"")</f>
        <v>1</v>
      </c>
    </row>
    <row r="287" spans="2:32" ht="15.75" customHeight="1" x14ac:dyDescent="0.3">
      <c r="B287" s="289" t="s">
        <v>460</v>
      </c>
      <c r="C287" s="212" t="s">
        <v>378</v>
      </c>
      <c r="D287" s="212" t="s">
        <v>478</v>
      </c>
      <c r="E287" s="212" t="s">
        <v>180</v>
      </c>
      <c r="F287" s="212" t="s">
        <v>479</v>
      </c>
      <c r="G287" s="212" t="s">
        <v>173</v>
      </c>
      <c r="H287" s="212" t="s">
        <v>498</v>
      </c>
      <c r="I287" s="212" t="s">
        <v>1847</v>
      </c>
      <c r="J287" s="232" t="s">
        <v>1848</v>
      </c>
      <c r="K287" s="212" t="s">
        <v>1847</v>
      </c>
      <c r="L287" s="232">
        <v>166765</v>
      </c>
      <c r="M287" s="212" t="s">
        <v>1853</v>
      </c>
      <c r="N287" s="212" t="s">
        <v>1841</v>
      </c>
      <c r="O287" s="219">
        <v>97.104997409999996</v>
      </c>
      <c r="P287" s="219">
        <v>25.379014999999999</v>
      </c>
      <c r="Q287" s="233"/>
      <c r="R287" s="196">
        <v>110</v>
      </c>
      <c r="S287" s="310">
        <v>475</v>
      </c>
      <c r="T287" s="222">
        <f>IF(CampList[[#This Row],[HH]]&gt;0,CampList[[#This Row],[Total]]/CampList[[#This Row],[HH]],"NA")</f>
        <v>4.3181818181818183</v>
      </c>
      <c r="U287" s="214" t="s">
        <v>464</v>
      </c>
      <c r="V287" s="214" t="s">
        <v>995</v>
      </c>
      <c r="W287" s="214" t="s">
        <v>1391</v>
      </c>
      <c r="X287" s="214" t="s">
        <v>742</v>
      </c>
      <c r="Y287" s="331">
        <v>42847</v>
      </c>
      <c r="Z287" s="223" t="s">
        <v>1322</v>
      </c>
      <c r="AA287" s="212" t="s">
        <v>774</v>
      </c>
      <c r="AB287" s="225">
        <v>43241</v>
      </c>
      <c r="AC287" s="226" t="s">
        <v>1854</v>
      </c>
      <c r="AD287" s="236" t="str">
        <f ca="1">IFERROR(OFFSET(DistanceToCamp[Nearest Town],MATCH(CampList[[#This Row],[CP_Pcode]],DistanceToCamp[CP_Pcode],0)-1,0,1,1),"")</f>
        <v>Panmatee Town</v>
      </c>
      <c r="AE287" s="227">
        <f ca="1">IFERROR(OFFSET(DistanceToCamp[distance],MATCH(CampList[[#This Row],[CP_Pcode]],DistanceToCamp[CP_Pcode],0)-1,0,1,1),"")</f>
        <v>0.4</v>
      </c>
      <c r="AF287" s="237">
        <f ca="1">IFERROR(INT(CampList[[#This Row],[Distance]]/5)+1,"")</f>
        <v>1</v>
      </c>
    </row>
    <row r="288" spans="2:32" ht="15.75" customHeight="1" x14ac:dyDescent="0.3">
      <c r="B288" s="289" t="s">
        <v>460</v>
      </c>
      <c r="C288" s="212" t="s">
        <v>378</v>
      </c>
      <c r="D288" s="212" t="s">
        <v>478</v>
      </c>
      <c r="E288" s="212" t="s">
        <v>180</v>
      </c>
      <c r="F288" s="212" t="s">
        <v>479</v>
      </c>
      <c r="G288" s="212" t="s">
        <v>173</v>
      </c>
      <c r="H288" s="212" t="s">
        <v>498</v>
      </c>
      <c r="I288" s="212" t="s">
        <v>1846</v>
      </c>
      <c r="J288" s="232" t="s">
        <v>1845</v>
      </c>
      <c r="K288" s="212" t="s">
        <v>643</v>
      </c>
      <c r="L288" s="212" t="s">
        <v>1855</v>
      </c>
      <c r="M288" s="212" t="s">
        <v>1856</v>
      </c>
      <c r="N288" s="212" t="s">
        <v>1842</v>
      </c>
      <c r="O288" s="219"/>
      <c r="P288" s="219"/>
      <c r="Q288" s="233"/>
      <c r="R288" s="196">
        <v>33</v>
      </c>
      <c r="S288" s="310">
        <v>81</v>
      </c>
      <c r="T288" s="222">
        <f>IF(CampList[[#This Row],[HH]]&gt;0,CampList[[#This Row],[Total]]/CampList[[#This Row],[HH]],"NA")</f>
        <v>2.4545454545454546</v>
      </c>
      <c r="U288" s="214" t="s">
        <v>464</v>
      </c>
      <c r="V288" s="214" t="s">
        <v>995</v>
      </c>
      <c r="W288" s="214" t="s">
        <v>1391</v>
      </c>
      <c r="X288" s="214" t="s">
        <v>742</v>
      </c>
      <c r="Y288" s="331">
        <v>42847</v>
      </c>
      <c r="Z288" s="223" t="s">
        <v>1322</v>
      </c>
      <c r="AA288" s="212" t="s">
        <v>774</v>
      </c>
      <c r="AB288" s="225">
        <v>43241</v>
      </c>
      <c r="AC288" s="226" t="s">
        <v>1854</v>
      </c>
      <c r="AD288" s="236" t="str">
        <f ca="1">IFERROR(OFFSET(DistanceToCamp[Nearest Town],MATCH(CampList[[#This Row],[CP_Pcode]],DistanceToCamp[CP_Pcode],0)-1,0,1,1),"")</f>
        <v>Panmatee Town</v>
      </c>
      <c r="AE288" s="227">
        <f ca="1">IFERROR(OFFSET(DistanceToCamp[distance],MATCH(CampList[[#This Row],[CP_Pcode]],DistanceToCamp[CP_Pcode],0)-1,0,1,1),"")</f>
        <v>0.4</v>
      </c>
      <c r="AF288" s="237">
        <f ca="1">IFERROR(INT(CampList[[#This Row],[Distance]]/5)+1,"")</f>
        <v>1</v>
      </c>
    </row>
    <row r="289" spans="2:32" ht="15.75" customHeight="1" x14ac:dyDescent="0.3">
      <c r="B289" s="289" t="s">
        <v>460</v>
      </c>
      <c r="C289" s="212" t="s">
        <v>378</v>
      </c>
      <c r="D289" s="212" t="s">
        <v>478</v>
      </c>
      <c r="E289" s="212" t="s">
        <v>237</v>
      </c>
      <c r="F289" s="213" t="s">
        <v>484</v>
      </c>
      <c r="G289" s="212" t="s">
        <v>237</v>
      </c>
      <c r="H289" s="212" t="s">
        <v>488</v>
      </c>
      <c r="I289" s="212" t="s">
        <v>1858</v>
      </c>
      <c r="J289" s="232" t="s">
        <v>1859</v>
      </c>
      <c r="K289" s="212" t="s">
        <v>1860</v>
      </c>
      <c r="L289" s="232">
        <v>165682</v>
      </c>
      <c r="M289" s="212" t="s">
        <v>1857</v>
      </c>
      <c r="N289" s="212" t="s">
        <v>1843</v>
      </c>
      <c r="O289" s="219">
        <v>97.431079999999994</v>
      </c>
      <c r="P289" s="219">
        <v>25.480989999999998</v>
      </c>
      <c r="Q289" s="233"/>
      <c r="R289" s="196">
        <v>157</v>
      </c>
      <c r="S289" s="310">
        <v>749</v>
      </c>
      <c r="T289" s="222">
        <f>IF(CampList[[#This Row],[HH]]&gt;0,CampList[[#This Row],[Total]]/CampList[[#This Row],[HH]],"NA")</f>
        <v>4.7707006369426752</v>
      </c>
      <c r="U289" s="214" t="s">
        <v>464</v>
      </c>
      <c r="V289" s="214" t="s">
        <v>995</v>
      </c>
      <c r="W289" s="214" t="s">
        <v>1391</v>
      </c>
      <c r="X289" s="214" t="s">
        <v>742</v>
      </c>
      <c r="Y289" s="331">
        <v>42851</v>
      </c>
      <c r="Z289" s="223" t="s">
        <v>1322</v>
      </c>
      <c r="AA289" s="212" t="s">
        <v>774</v>
      </c>
      <c r="AB289" s="225">
        <v>43241</v>
      </c>
      <c r="AC289" s="226" t="s">
        <v>1854</v>
      </c>
      <c r="AD289" s="236" t="str">
        <f ca="1">IFERROR(OFFSET(DistanceToCamp[Nearest Town],MATCH(CampList[[#This Row],[CP_Pcode]],DistanceToCamp[CP_Pcode],0)-1,0,1,1),"")</f>
        <v>Myitkyina Town</v>
      </c>
      <c r="AE289" s="227">
        <f ca="1">IFERROR(OFFSET(DistanceToCamp[distance],MATCH(CampList[[#This Row],[CP_Pcode]],DistanceToCamp[CP_Pcode],0)-1,0,1,1),"")</f>
        <v>8</v>
      </c>
      <c r="AF289" s="237">
        <f ca="1">IFERROR(INT(CampList[[#This Row],[Distance]]/5)+1,"")</f>
        <v>2</v>
      </c>
    </row>
    <row r="290" spans="2:32" ht="15.75" customHeight="1" x14ac:dyDescent="0.3">
      <c r="B290" s="289" t="s">
        <v>460</v>
      </c>
      <c r="C290" s="212" t="s">
        <v>378</v>
      </c>
      <c r="D290" s="212" t="s">
        <v>478</v>
      </c>
      <c r="E290" s="212" t="s">
        <v>237</v>
      </c>
      <c r="F290" s="213" t="s">
        <v>484</v>
      </c>
      <c r="G290" s="212" t="s">
        <v>237</v>
      </c>
      <c r="H290" s="212" t="s">
        <v>488</v>
      </c>
      <c r="I290" s="212" t="s">
        <v>1863</v>
      </c>
      <c r="J290" s="232" t="s">
        <v>1864</v>
      </c>
      <c r="K290" s="212" t="s">
        <v>1863</v>
      </c>
      <c r="L290" s="232">
        <v>165704</v>
      </c>
      <c r="M290" s="212" t="s">
        <v>1862</v>
      </c>
      <c r="N290" s="212" t="s">
        <v>1844</v>
      </c>
      <c r="O290" s="219">
        <v>97.49136</v>
      </c>
      <c r="P290" s="219">
        <v>25.717300000000002</v>
      </c>
      <c r="Q290" s="233"/>
      <c r="R290" s="196">
        <v>215</v>
      </c>
      <c r="S290" s="310">
        <v>1048</v>
      </c>
      <c r="T290" s="222">
        <f>IF(CampList[[#This Row],[HH]]&gt;0,CampList[[#This Row],[Total]]/CampList[[#This Row],[HH]],"NA")</f>
        <v>4.8744186046511624</v>
      </c>
      <c r="U290" s="214" t="s">
        <v>464</v>
      </c>
      <c r="V290" s="214" t="s">
        <v>995</v>
      </c>
      <c r="W290" s="214" t="s">
        <v>1391</v>
      </c>
      <c r="X290" s="214" t="s">
        <v>784</v>
      </c>
      <c r="Y290" s="331">
        <v>42851</v>
      </c>
      <c r="Z290" s="223" t="s">
        <v>1322</v>
      </c>
      <c r="AA290" s="212" t="s">
        <v>774</v>
      </c>
      <c r="AB290" s="225">
        <v>43241</v>
      </c>
      <c r="AC290" s="226" t="s">
        <v>1854</v>
      </c>
      <c r="AD290" s="236" t="str">
        <f ca="1">IFERROR(OFFSET(DistanceToCamp[Nearest Town],MATCH(CampList[[#This Row],[CP_Pcode]],DistanceToCamp[CP_Pcode],0)-1,0,1,1),"")</f>
        <v>Myitkyina Town</v>
      </c>
      <c r="AE290" s="227">
        <f ca="1">IFERROR(OFFSET(DistanceToCamp[distance],MATCH(CampList[[#This Row],[CP_Pcode]],DistanceToCamp[CP_Pcode],0)-1,0,1,1),"")</f>
        <v>27</v>
      </c>
      <c r="AF290" s="237">
        <f ca="1">IFERROR(INT(CampList[[#This Row],[Distance]]/5)+1,"")</f>
        <v>6</v>
      </c>
    </row>
    <row r="291" spans="2:32" ht="15.6" hidden="1" customHeight="1" x14ac:dyDescent="0.3">
      <c r="B291" s="289" t="s">
        <v>775</v>
      </c>
      <c r="C291" s="212" t="s">
        <v>506</v>
      </c>
      <c r="D291" s="212" t="s">
        <v>489</v>
      </c>
      <c r="E291" s="212" t="s">
        <v>230</v>
      </c>
      <c r="F291" s="212" t="s">
        <v>490</v>
      </c>
      <c r="G291" s="212" t="s">
        <v>230</v>
      </c>
      <c r="H291" s="212" t="s">
        <v>491</v>
      </c>
      <c r="I291" s="290"/>
      <c r="J291" s="291"/>
      <c r="K291" s="290"/>
      <c r="L291" s="290"/>
      <c r="M291" s="186" t="s">
        <v>1197</v>
      </c>
      <c r="N291" s="213" t="s">
        <v>1185</v>
      </c>
      <c r="O291" s="292"/>
      <c r="P291" s="292"/>
      <c r="Q291" s="293"/>
      <c r="R291" s="196"/>
      <c r="S291" s="641"/>
      <c r="T291" s="294" t="str">
        <f>IF(CampList[[#This Row],[HH]]&gt;0,CampList[[#This Row],[Total]]/CampList[[#This Row],[HH]],"NA")</f>
        <v>NA</v>
      </c>
      <c r="U291" s="197" t="s">
        <v>464</v>
      </c>
      <c r="V291" s="295" t="s">
        <v>995</v>
      </c>
      <c r="W291" s="196" t="s">
        <v>507</v>
      </c>
      <c r="X291" s="196"/>
      <c r="Y291" s="296"/>
      <c r="Z291" s="293"/>
      <c r="AA291" s="290" t="s">
        <v>774</v>
      </c>
      <c r="AB291" s="297">
        <v>42831</v>
      </c>
      <c r="AC291" s="298" t="s">
        <v>1227</v>
      </c>
      <c r="AD291" s="299" t="str">
        <f ca="1">IFERROR(OFFSET(DistanceToCamp[Nearest Town],MATCH(CampList[[#This Row],[CP_Pcode]],DistanceToCamp[CP_Pcode],0)-1,0,1,1),"")</f>
        <v/>
      </c>
      <c r="AE291" s="300" t="str">
        <f ca="1">IFERROR(OFFSET(DistanceToCamp[distance],MATCH(CampList[[#This Row],[CP_Pcode]],DistanceToCamp[CP_Pcode],0)-1,0,1,1),"")</f>
        <v/>
      </c>
      <c r="AF291" s="301" t="str">
        <f ca="1">IFERROR(INT(CampList[[#This Row],[Distance]]/5)+1,"")</f>
        <v/>
      </c>
    </row>
    <row r="292" spans="2:32" ht="15.6" customHeight="1" x14ac:dyDescent="0.3">
      <c r="B292" s="289" t="s">
        <v>460</v>
      </c>
      <c r="C292" s="212" t="s">
        <v>506</v>
      </c>
      <c r="D292" s="212" t="s">
        <v>489</v>
      </c>
      <c r="E292" s="212" t="s">
        <v>494</v>
      </c>
      <c r="F292" s="212" t="s">
        <v>495</v>
      </c>
      <c r="G292" s="212" t="s">
        <v>1201</v>
      </c>
      <c r="H292" s="212" t="s">
        <v>1202</v>
      </c>
      <c r="I292" s="290" t="s">
        <v>1217</v>
      </c>
      <c r="J292" s="291" t="s">
        <v>1218</v>
      </c>
      <c r="K292" s="290" t="s">
        <v>1216</v>
      </c>
      <c r="L292" s="290">
        <v>209986</v>
      </c>
      <c r="M292" s="186" t="s">
        <v>1198</v>
      </c>
      <c r="N292" s="213" t="s">
        <v>1186</v>
      </c>
      <c r="O292" s="292">
        <v>97.314762999999999</v>
      </c>
      <c r="P292" s="292">
        <v>22.677008000000001</v>
      </c>
      <c r="Q292" s="293"/>
      <c r="R292" s="292">
        <v>37</v>
      </c>
      <c r="S292" s="642">
        <v>120</v>
      </c>
      <c r="T292" s="294">
        <f>IF(CampList[[#This Row],[HH]]&gt;0,CampList[[#This Row],[Total]]/CampList[[#This Row],[HH]],"NA")</f>
        <v>3.2432432432432434</v>
      </c>
      <c r="U292" s="197" t="s">
        <v>464</v>
      </c>
      <c r="V292" s="295" t="s">
        <v>995</v>
      </c>
      <c r="W292" s="214" t="s">
        <v>1391</v>
      </c>
      <c r="X292" s="196" t="s">
        <v>784</v>
      </c>
      <c r="Y292" s="296"/>
      <c r="Z292" s="223" t="s">
        <v>1322</v>
      </c>
      <c r="AA292" s="290" t="s">
        <v>774</v>
      </c>
      <c r="AB292" s="297">
        <v>42752</v>
      </c>
      <c r="AC292" s="298" t="s">
        <v>1188</v>
      </c>
      <c r="AD292" s="299" t="str">
        <f ca="1">IFERROR(OFFSET(DistanceToCamp[Nearest Town],MATCH(CampList[[#This Row],[CP_Pcode]],DistanceToCamp[CP_Pcode],0)-1,0,1,1),"")</f>
        <v/>
      </c>
      <c r="AE292" s="300" t="str">
        <f ca="1">IFERROR(OFFSET(DistanceToCamp[distance],MATCH(CampList[[#This Row],[CP_Pcode]],DistanceToCamp[CP_Pcode],0)-1,0,1,1),"")</f>
        <v/>
      </c>
      <c r="AF292" s="301" t="str">
        <f ca="1">IFERROR(INT(CampList[[#This Row],[Distance]]/5)+1,"")</f>
        <v/>
      </c>
    </row>
    <row r="293" spans="2:32" ht="15.6" customHeight="1" x14ac:dyDescent="0.3">
      <c r="B293" s="231" t="s">
        <v>460</v>
      </c>
      <c r="C293" s="212" t="s">
        <v>506</v>
      </c>
      <c r="D293" s="212" t="s">
        <v>489</v>
      </c>
      <c r="E293" s="212" t="s">
        <v>230</v>
      </c>
      <c r="F293" s="212" t="s">
        <v>490</v>
      </c>
      <c r="G293" s="212" t="s">
        <v>146</v>
      </c>
      <c r="H293" s="212" t="s">
        <v>497</v>
      </c>
      <c r="I293" s="213" t="s">
        <v>669</v>
      </c>
      <c r="J293" s="232" t="s">
        <v>670</v>
      </c>
      <c r="K293" s="213" t="s">
        <v>1231</v>
      </c>
      <c r="L293" s="213" t="s">
        <v>1230</v>
      </c>
      <c r="M293" s="186" t="s">
        <v>1233</v>
      </c>
      <c r="N293" s="213" t="s">
        <v>1232</v>
      </c>
      <c r="O293" s="221">
        <v>97.947360000000003</v>
      </c>
      <c r="P293" s="221">
        <v>23.460349999999998</v>
      </c>
      <c r="Q293" s="233"/>
      <c r="R293" s="221">
        <v>39</v>
      </c>
      <c r="S293" s="221">
        <v>145</v>
      </c>
      <c r="T293" s="222">
        <f>IF(CampList[[#This Row],[HH]]&gt;0,CampList[[#This Row],[Total]]/CampList[[#This Row],[HH]],"NA")</f>
        <v>3.7179487179487181</v>
      </c>
      <c r="U293" s="214" t="s">
        <v>464</v>
      </c>
      <c r="V293" s="214" t="s">
        <v>995</v>
      </c>
      <c r="W293" s="214" t="s">
        <v>507</v>
      </c>
      <c r="X293" s="214" t="s">
        <v>742</v>
      </c>
      <c r="Y293" s="234">
        <v>42724</v>
      </c>
      <c r="Z293" s="233" t="s">
        <v>424</v>
      </c>
      <c r="AA293" s="213" t="s">
        <v>774</v>
      </c>
      <c r="AB293" s="225">
        <v>43235</v>
      </c>
      <c r="AC293" s="235" t="s">
        <v>1795</v>
      </c>
      <c r="AD293" s="236" t="str">
        <f ca="1">IFERROR(OFFSET(DistanceToCamp[Nearest Town],MATCH(CampList[[#This Row],[CP_Pcode]],DistanceToCamp[CP_Pcode],0)-1,0,1,1),"")</f>
        <v/>
      </c>
      <c r="AE293" s="227" t="str">
        <f ca="1">IFERROR(OFFSET(DistanceToCamp[distance],MATCH(CampList[[#This Row],[CP_Pcode]],DistanceToCamp[CP_Pcode],0)-1,0,1,1),"")</f>
        <v/>
      </c>
      <c r="AF293" s="237" t="str">
        <f ca="1">IFERROR(INT(CampList[[#This Row],[Distance]]/5)+1,"")</f>
        <v/>
      </c>
    </row>
    <row r="294" spans="2:32" ht="15.6" customHeight="1" x14ac:dyDescent="0.3">
      <c r="B294" s="231" t="s">
        <v>460</v>
      </c>
      <c r="C294" s="212" t="s">
        <v>506</v>
      </c>
      <c r="D294" s="212" t="s">
        <v>489</v>
      </c>
      <c r="E294" s="212" t="s">
        <v>230</v>
      </c>
      <c r="F294" s="212" t="s">
        <v>490</v>
      </c>
      <c r="G294" s="212" t="s">
        <v>146</v>
      </c>
      <c r="H294" s="212" t="s">
        <v>497</v>
      </c>
      <c r="I294" s="290" t="s">
        <v>1244</v>
      </c>
      <c r="J294" s="291" t="s">
        <v>1245</v>
      </c>
      <c r="K294" s="290" t="s">
        <v>1242</v>
      </c>
      <c r="L294" s="290">
        <v>208530</v>
      </c>
      <c r="M294" s="290" t="s">
        <v>1242</v>
      </c>
      <c r="N294" s="326" t="s">
        <v>1243</v>
      </c>
      <c r="O294" s="292"/>
      <c r="P294" s="292"/>
      <c r="Q294" s="293"/>
      <c r="R294" s="292">
        <v>24</v>
      </c>
      <c r="S294" s="293">
        <v>84</v>
      </c>
      <c r="T294" s="327">
        <f>IF(CampList[[#This Row],[HH]]&gt;0,CampList[[#This Row],[Total]]/CampList[[#This Row],[HH]],"NA")</f>
        <v>3.5</v>
      </c>
      <c r="U294" s="328" t="s">
        <v>464</v>
      </c>
      <c r="V294" s="328" t="s">
        <v>995</v>
      </c>
      <c r="W294" s="214" t="s">
        <v>1391</v>
      </c>
      <c r="X294" s="196" t="s">
        <v>784</v>
      </c>
      <c r="Y294" s="296"/>
      <c r="Z294" s="223" t="s">
        <v>1322</v>
      </c>
      <c r="AA294" s="290" t="s">
        <v>774</v>
      </c>
      <c r="AB294" s="297">
        <v>42861</v>
      </c>
      <c r="AC294" s="312" t="s">
        <v>1246</v>
      </c>
      <c r="AD294" s="299" t="str">
        <f ca="1">IFERROR(OFFSET(DistanceToCamp[Nearest Town],MATCH(CampList[[#This Row],[CP_Pcode]],DistanceToCamp[CP_Pcode],0)-1,0,1,1),"")</f>
        <v/>
      </c>
      <c r="AE294" s="300" t="str">
        <f ca="1">IFERROR(OFFSET(DistanceToCamp[distance],MATCH(CampList[[#This Row],[CP_Pcode]],DistanceToCamp[CP_Pcode],0)-1,0,1,1),"")</f>
        <v/>
      </c>
      <c r="AF294" s="301" t="str">
        <f ca="1">IFERROR(INT(CampList[[#This Row],[Distance]]/5)+1,"")</f>
        <v/>
      </c>
    </row>
    <row r="295" spans="2:32" ht="15.6" customHeight="1" x14ac:dyDescent="0.3">
      <c r="B295" s="289" t="s">
        <v>460</v>
      </c>
      <c r="C295" s="212" t="s">
        <v>506</v>
      </c>
      <c r="D295" s="212" t="s">
        <v>489</v>
      </c>
      <c r="E295" s="212" t="s">
        <v>230</v>
      </c>
      <c r="F295" s="212" t="s">
        <v>490</v>
      </c>
      <c r="G295" s="212" t="s">
        <v>230</v>
      </c>
      <c r="H295" s="212" t="s">
        <v>491</v>
      </c>
      <c r="I295" s="212" t="s">
        <v>714</v>
      </c>
      <c r="J295" s="291" t="s">
        <v>715</v>
      </c>
      <c r="K295" s="290" t="s">
        <v>716</v>
      </c>
      <c r="L295" s="290">
        <v>208156</v>
      </c>
      <c r="M295" s="290" t="s">
        <v>716</v>
      </c>
      <c r="N295" s="213" t="s">
        <v>1247</v>
      </c>
      <c r="O295" s="219">
        <v>98.115809999999996</v>
      </c>
      <c r="P295" s="219">
        <v>24.08738</v>
      </c>
      <c r="Q295" s="293"/>
      <c r="R295" s="292">
        <v>153</v>
      </c>
      <c r="S295" s="293">
        <v>781</v>
      </c>
      <c r="T295" s="222">
        <f>IF(CampList[[#This Row],[HH]]&gt;0,CampList[[#This Row],[Total]]/CampList[[#This Row],[HH]],"NA")</f>
        <v>5.1045751633986924</v>
      </c>
      <c r="U295" s="214" t="s">
        <v>464</v>
      </c>
      <c r="V295" s="214" t="s">
        <v>995</v>
      </c>
      <c r="W295" s="214" t="s">
        <v>507</v>
      </c>
      <c r="X295" s="196" t="s">
        <v>784</v>
      </c>
      <c r="Y295" s="296"/>
      <c r="Z295" s="293" t="s">
        <v>424</v>
      </c>
      <c r="AA295" s="290" t="s">
        <v>774</v>
      </c>
      <c r="AB295" s="225">
        <v>43235</v>
      </c>
      <c r="AC295" s="312" t="s">
        <v>1795</v>
      </c>
      <c r="AD295" s="299" t="str">
        <f ca="1">IFERROR(OFFSET(DistanceToCamp[Nearest Town],MATCH(CampList[[#This Row],[CP_Pcode]],DistanceToCamp[CP_Pcode],0)-1,0,1,1),"")</f>
        <v/>
      </c>
      <c r="AE295" s="300" t="str">
        <f ca="1">IFERROR(OFFSET(DistanceToCamp[distance],MATCH(CampList[[#This Row],[CP_Pcode]],DistanceToCamp[CP_Pcode],0)-1,0,1,1),"")</f>
        <v/>
      </c>
      <c r="AF295" s="301" t="str">
        <f ca="1">IFERROR(INT(CampList[[#This Row],[Distance]]/5)+1,"")</f>
        <v/>
      </c>
    </row>
    <row r="296" spans="2:32" ht="15.6" customHeight="1" x14ac:dyDescent="0.3">
      <c r="B296" s="289" t="s">
        <v>460</v>
      </c>
      <c r="C296" s="212" t="s">
        <v>506</v>
      </c>
      <c r="D296" s="212"/>
      <c r="E296" s="212" t="s">
        <v>230</v>
      </c>
      <c r="F296" s="212"/>
      <c r="G296" s="212" t="s">
        <v>146</v>
      </c>
      <c r="H296" s="212"/>
      <c r="I296" s="212" t="s">
        <v>1546</v>
      </c>
      <c r="J296" s="291"/>
      <c r="K296" s="290" t="s">
        <v>1546</v>
      </c>
      <c r="L296" s="290"/>
      <c r="M296" s="290" t="s">
        <v>1546</v>
      </c>
      <c r="N296" s="213" t="s">
        <v>1568</v>
      </c>
      <c r="O296" s="219"/>
      <c r="P296" s="219"/>
      <c r="Q296" s="293"/>
      <c r="R296" s="196">
        <v>39</v>
      </c>
      <c r="S296" s="310">
        <v>202</v>
      </c>
      <c r="T296" s="222">
        <f>IF(CampList[[#This Row],[HH]]&gt;0,CampList[[#This Row],[Total]]/CampList[[#This Row],[HH]],"NA")</f>
        <v>5.1794871794871797</v>
      </c>
      <c r="U296" s="214" t="s">
        <v>464</v>
      </c>
      <c r="V296" s="214" t="s">
        <v>995</v>
      </c>
      <c r="W296" s="214" t="s">
        <v>1391</v>
      </c>
      <c r="X296" s="196" t="s">
        <v>784</v>
      </c>
      <c r="Y296" s="296">
        <v>42370</v>
      </c>
      <c r="Z296" s="223" t="s">
        <v>1322</v>
      </c>
      <c r="AA296" s="290" t="s">
        <v>774</v>
      </c>
      <c r="AB296" s="225">
        <v>43008</v>
      </c>
      <c r="AC296" s="312"/>
      <c r="AD296" s="299" t="str">
        <f ca="1">IFERROR(OFFSET(DistanceToCamp[Nearest Town],MATCH(CampList[[#This Row],[CP_Pcode]],DistanceToCamp[CP_Pcode],0)-1,0,1,1),"")</f>
        <v/>
      </c>
      <c r="AE296" s="300" t="str">
        <f ca="1">IFERROR(OFFSET(DistanceToCamp[distance],MATCH(CampList[[#This Row],[CP_Pcode]],DistanceToCamp[CP_Pcode],0)-1,0,1,1),"")</f>
        <v/>
      </c>
      <c r="AF296" s="301" t="str">
        <f ca="1">IFERROR(INT(CampList[[#This Row],[Distance]]/5)+1,"")</f>
        <v/>
      </c>
    </row>
    <row r="297" spans="2:32" ht="17.399999999999999" customHeight="1" x14ac:dyDescent="0.3">
      <c r="B297" s="289" t="s">
        <v>460</v>
      </c>
      <c r="C297" s="212" t="s">
        <v>506</v>
      </c>
      <c r="D297" s="212" t="s">
        <v>489</v>
      </c>
      <c r="E297" s="212" t="s">
        <v>494</v>
      </c>
      <c r="F297" s="212" t="s">
        <v>495</v>
      </c>
      <c r="G297" s="212" t="s">
        <v>297</v>
      </c>
      <c r="H297" s="212" t="s">
        <v>503</v>
      </c>
      <c r="I297" s="290" t="s">
        <v>755</v>
      </c>
      <c r="J297" s="291" t="s">
        <v>756</v>
      </c>
      <c r="K297" s="290" t="s">
        <v>757</v>
      </c>
      <c r="L297" s="290" t="s">
        <v>758</v>
      </c>
      <c r="M297" s="290" t="s">
        <v>1281</v>
      </c>
      <c r="N297" s="213" t="s">
        <v>1280</v>
      </c>
      <c r="O297" s="292">
        <v>97.400671000000003</v>
      </c>
      <c r="P297" s="292">
        <v>23.099304</v>
      </c>
      <c r="Q297" s="293"/>
      <c r="R297" s="640">
        <v>59</v>
      </c>
      <c r="S297" s="640">
        <v>273</v>
      </c>
      <c r="T297" s="294">
        <f>IF(CampList[[#This Row],[HH]]&gt;0,CampList[[#This Row],[Total]]/CampList[[#This Row],[HH]],"NA")</f>
        <v>4.6271186440677967</v>
      </c>
      <c r="U297" s="197" t="s">
        <v>464</v>
      </c>
      <c r="V297" s="295" t="s">
        <v>995</v>
      </c>
      <c r="W297" s="197" t="s">
        <v>507</v>
      </c>
      <c r="X297" s="196" t="s">
        <v>742</v>
      </c>
      <c r="Y297" s="296">
        <v>42781</v>
      </c>
      <c r="Z297" s="233" t="s">
        <v>1048</v>
      </c>
      <c r="AA297" s="290" t="s">
        <v>774</v>
      </c>
      <c r="AB297" s="557">
        <v>43230</v>
      </c>
      <c r="AC297" s="298" t="s">
        <v>1732</v>
      </c>
      <c r="AD297" s="299" t="str">
        <f ca="1">IFERROR(OFFSET(DistanceToCamp[Nearest Town],MATCH(CampList[[#This Row],[CP_Pcode]],DistanceToCamp[CP_Pcode],0)-1,0,1,1),"")</f>
        <v/>
      </c>
      <c r="AE297" s="300" t="str">
        <f ca="1">IFERROR(OFFSET(DistanceToCamp[distance],MATCH(CampList[[#This Row],[CP_Pcode]],DistanceToCamp[CP_Pcode],0)-1,0,1,1),"")</f>
        <v/>
      </c>
      <c r="AF297" s="301" t="str">
        <f ca="1">IFERROR(INT(CampList[[#This Row],[Distance]]/5)+1,"")</f>
        <v/>
      </c>
    </row>
  </sheetData>
  <sortState ref="B73:AL238">
    <sortCondition ref="H1:H1048576"/>
    <sortCondition ref="M1:M1048576"/>
  </sortState>
  <mergeCells count="2">
    <mergeCell ref="B3:D3"/>
    <mergeCell ref="M2:M3"/>
  </mergeCells>
  <conditionalFormatting sqref="B118:B155 B5:B111">
    <cfRule type="cellIs" dxfId="1266" priority="96" operator="equal">
      <formula>"closed"</formula>
    </cfRule>
  </conditionalFormatting>
  <conditionalFormatting sqref="B112">
    <cfRule type="cellIs" dxfId="1265" priority="92" operator="equal">
      <formula>"closed"</formula>
    </cfRule>
  </conditionalFormatting>
  <conditionalFormatting sqref="B113">
    <cfRule type="cellIs" dxfId="1264" priority="91" operator="equal">
      <formula>"closed"</formula>
    </cfRule>
  </conditionalFormatting>
  <conditionalFormatting sqref="B114:B116">
    <cfRule type="cellIs" dxfId="1263" priority="90" operator="equal">
      <formula>"closed"</formula>
    </cfRule>
  </conditionalFormatting>
  <conditionalFormatting sqref="B117">
    <cfRule type="cellIs" dxfId="1262" priority="89" operator="equal">
      <formula>"closed"</formula>
    </cfRule>
  </conditionalFormatting>
  <conditionalFormatting sqref="AA4:AA155">
    <cfRule type="cellIs" dxfId="1261" priority="85" operator="equal">
      <formula>"RRD"</formula>
    </cfRule>
    <cfRule type="cellIs" dxfId="1260" priority="86" operator="equal">
      <formula>"IP"</formula>
    </cfRule>
    <cfRule type="cellIs" dxfId="1259" priority="87" operator="equal">
      <formula>"IRRC"</formula>
    </cfRule>
  </conditionalFormatting>
  <conditionalFormatting sqref="AA156:AA205 AA238 AA244 AA260 AA263 AA250">
    <cfRule type="cellIs" dxfId="1258" priority="62" operator="equal">
      <formula>"RRD"</formula>
    </cfRule>
    <cfRule type="cellIs" dxfId="1257" priority="63" operator="equal">
      <formula>"IP"</formula>
    </cfRule>
    <cfRule type="cellIs" dxfId="1256" priority="64" operator="equal">
      <formula>"IRRC"</formula>
    </cfRule>
  </conditionalFormatting>
  <conditionalFormatting sqref="AA206">
    <cfRule type="cellIs" dxfId="1255" priority="58" operator="equal">
      <formula>"RRD"</formula>
    </cfRule>
    <cfRule type="cellIs" dxfId="1254" priority="59" operator="equal">
      <formula>"IP"</formula>
    </cfRule>
    <cfRule type="cellIs" dxfId="1253" priority="60" operator="equal">
      <formula>"IRRC"</formula>
    </cfRule>
  </conditionalFormatting>
  <conditionalFormatting sqref="AA208 AA210 AA212">
    <cfRule type="cellIs" dxfId="1252" priority="21" operator="equal">
      <formula>"RRD"</formula>
    </cfRule>
    <cfRule type="cellIs" dxfId="1251" priority="22" operator="equal">
      <formula>"IP"</formula>
    </cfRule>
    <cfRule type="cellIs" dxfId="1250" priority="23" operator="equal">
      <formula>"IRRC"</formula>
    </cfRule>
  </conditionalFormatting>
  <conditionalFormatting sqref="AA207 AA209 AA211 AA213">
    <cfRule type="cellIs" dxfId="1249" priority="25" operator="equal">
      <formula>"RRD"</formula>
    </cfRule>
    <cfRule type="cellIs" dxfId="1248" priority="26" operator="equal">
      <formula>"IP"</formula>
    </cfRule>
    <cfRule type="cellIs" dxfId="1247"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XFD173"/>
  <sheetViews>
    <sheetView showGridLines="0" showZeros="0" zoomScaleNormal="100" zoomScaleSheetLayoutView="85" workbookViewId="0">
      <pane xSplit="6" ySplit="4" topLeftCell="O5" activePane="bottomRight" state="frozen"/>
      <selection pane="topRight" activeCell="G1" sqref="G1"/>
      <selection pane="bottomLeft" activeCell="A5" sqref="A5"/>
      <selection pane="bottomRight" activeCell="S172" sqref="S172"/>
    </sheetView>
  </sheetViews>
  <sheetFormatPr defaultColWidth="9.109375" defaultRowHeight="11.25" customHeight="1" x14ac:dyDescent="0.25"/>
  <cols>
    <col min="1" max="1" width="9.109375" style="372"/>
    <col min="2" max="2" width="6.109375" style="372" customWidth="1"/>
    <col min="3" max="3" width="9.44140625" style="372" customWidth="1"/>
    <col min="4" max="4" width="29.33203125" style="372" customWidth="1"/>
    <col min="5" max="5" width="15.88671875" style="372" customWidth="1"/>
    <col min="6" max="6" width="7.88671875" style="373" customWidth="1"/>
    <col min="7" max="7" width="8.5546875" style="372" customWidth="1"/>
    <col min="8" max="8" width="10.33203125" style="374" customWidth="1"/>
    <col min="9" max="9" width="11.33203125" style="374" customWidth="1"/>
    <col min="10" max="11" width="10.33203125" style="374" customWidth="1"/>
    <col min="12" max="12" width="15.109375" style="374" customWidth="1"/>
    <col min="13" max="13" width="10.33203125" style="374" customWidth="1"/>
    <col min="14" max="14" width="11.109375" style="374" customWidth="1"/>
    <col min="15" max="16" width="10.33203125" style="374" customWidth="1"/>
    <col min="17" max="17" width="13.88671875" style="374" customWidth="1"/>
    <col min="18" max="18" width="12.33203125" style="374" customWidth="1"/>
    <col min="19" max="19" width="11.33203125" style="374" customWidth="1"/>
    <col min="20" max="20" width="12.44140625" style="374" customWidth="1"/>
    <col min="21" max="21" width="13" style="374" customWidth="1"/>
    <col min="22" max="22" width="9.5546875" style="374" customWidth="1"/>
    <col min="23" max="23" width="13.6640625" style="374" customWidth="1"/>
    <col min="24" max="24" width="12.33203125" style="372" customWidth="1"/>
    <col min="25" max="253" width="9.109375" style="372"/>
    <col min="254" max="254" width="9.44140625" style="372" customWidth="1"/>
    <col min="255" max="255" width="31.44140625" style="372" customWidth="1"/>
    <col min="256" max="261" width="0" style="372" hidden="1" customWidth="1"/>
    <col min="262" max="262" width="8.6640625" style="372" customWidth="1"/>
    <col min="263" max="263" width="8.109375" style="372" customWidth="1"/>
    <col min="264" max="264" width="14.44140625" style="372" customWidth="1"/>
    <col min="265" max="265" width="13.33203125" style="372" customWidth="1"/>
    <col min="266" max="266" width="9.6640625" style="372" customWidth="1"/>
    <col min="267" max="267" width="13.5546875" style="372" customWidth="1"/>
    <col min="268" max="268" width="10.5546875" style="372" customWidth="1"/>
    <col min="269" max="269" width="11.33203125" style="372" customWidth="1"/>
    <col min="270" max="270" width="8.6640625" style="372" customWidth="1"/>
    <col min="271" max="271" width="9" style="372" customWidth="1"/>
    <col min="272" max="272" width="6.6640625" style="372" customWidth="1"/>
    <col min="273" max="273" width="11.44140625" style="372" customWidth="1"/>
    <col min="274" max="274" width="12.33203125" style="372" customWidth="1"/>
    <col min="275" max="275" width="11.33203125" style="372" customWidth="1"/>
    <col min="276" max="276" width="12.44140625" style="372" customWidth="1"/>
    <col min="277" max="277" width="13" style="372" customWidth="1"/>
    <col min="278" max="278" width="9.5546875" style="372" customWidth="1"/>
    <col min="279" max="279" width="11.44140625" style="372" customWidth="1"/>
    <col min="280" max="509" width="9.109375" style="372"/>
    <col min="510" max="510" width="9.44140625" style="372" customWidth="1"/>
    <col min="511" max="511" width="31.44140625" style="372" customWidth="1"/>
    <col min="512" max="517" width="0" style="372" hidden="1" customWidth="1"/>
    <col min="518" max="518" width="8.6640625" style="372" customWidth="1"/>
    <col min="519" max="519" width="8.109375" style="372" customWidth="1"/>
    <col min="520" max="520" width="14.44140625" style="372" customWidth="1"/>
    <col min="521" max="521" width="13.33203125" style="372" customWidth="1"/>
    <col min="522" max="522" width="9.6640625" style="372" customWidth="1"/>
    <col min="523" max="523" width="13.5546875" style="372" customWidth="1"/>
    <col min="524" max="524" width="10.5546875" style="372" customWidth="1"/>
    <col min="525" max="525" width="11.33203125" style="372" customWidth="1"/>
    <col min="526" max="526" width="8.6640625" style="372" customWidth="1"/>
    <col min="527" max="527" width="9" style="372" customWidth="1"/>
    <col min="528" max="528" width="6.6640625" style="372" customWidth="1"/>
    <col min="529" max="529" width="11.44140625" style="372" customWidth="1"/>
    <col min="530" max="530" width="12.33203125" style="372" customWidth="1"/>
    <col min="531" max="531" width="11.33203125" style="372" customWidth="1"/>
    <col min="532" max="532" width="12.44140625" style="372" customWidth="1"/>
    <col min="533" max="533" width="13" style="372" customWidth="1"/>
    <col min="534" max="534" width="9.5546875" style="372" customWidth="1"/>
    <col min="535" max="535" width="11.44140625" style="372" customWidth="1"/>
    <col min="536" max="765" width="9.109375" style="372"/>
    <col min="766" max="766" width="9.44140625" style="372" customWidth="1"/>
    <col min="767" max="767" width="31.44140625" style="372" customWidth="1"/>
    <col min="768" max="773" width="0" style="372" hidden="1" customWidth="1"/>
    <col min="774" max="774" width="8.6640625" style="372" customWidth="1"/>
    <col min="775" max="775" width="8.109375" style="372" customWidth="1"/>
    <col min="776" max="776" width="14.44140625" style="372" customWidth="1"/>
    <col min="777" max="777" width="13.33203125" style="372" customWidth="1"/>
    <col min="778" max="778" width="9.6640625" style="372" customWidth="1"/>
    <col min="779" max="779" width="13.5546875" style="372" customWidth="1"/>
    <col min="780" max="780" width="10.5546875" style="372" customWidth="1"/>
    <col min="781" max="781" width="11.33203125" style="372" customWidth="1"/>
    <col min="782" max="782" width="8.6640625" style="372" customWidth="1"/>
    <col min="783" max="783" width="9" style="372" customWidth="1"/>
    <col min="784" max="784" width="6.6640625" style="372" customWidth="1"/>
    <col min="785" max="785" width="11.44140625" style="372" customWidth="1"/>
    <col min="786" max="786" width="12.33203125" style="372" customWidth="1"/>
    <col min="787" max="787" width="11.33203125" style="372" customWidth="1"/>
    <col min="788" max="788" width="12.44140625" style="372" customWidth="1"/>
    <col min="789" max="789" width="13" style="372" customWidth="1"/>
    <col min="790" max="790" width="9.5546875" style="372" customWidth="1"/>
    <col min="791" max="791" width="11.44140625" style="372" customWidth="1"/>
    <col min="792" max="1021" width="9.109375" style="372"/>
    <col min="1022" max="1022" width="9.44140625" style="372" customWidth="1"/>
    <col min="1023" max="1023" width="31.44140625" style="372" customWidth="1"/>
    <col min="1024" max="1029" width="0" style="372" hidden="1" customWidth="1"/>
    <col min="1030" max="1030" width="8.6640625" style="372" customWidth="1"/>
    <col min="1031" max="1031" width="8.109375" style="372" customWidth="1"/>
    <col min="1032" max="1032" width="14.44140625" style="372" customWidth="1"/>
    <col min="1033" max="1033" width="13.33203125" style="372" customWidth="1"/>
    <col min="1034" max="1034" width="9.6640625" style="372" customWidth="1"/>
    <col min="1035" max="1035" width="13.5546875" style="372" customWidth="1"/>
    <col min="1036" max="1036" width="10.5546875" style="372" customWidth="1"/>
    <col min="1037" max="1037" width="11.33203125" style="372" customWidth="1"/>
    <col min="1038" max="1038" width="8.6640625" style="372" customWidth="1"/>
    <col min="1039" max="1039" width="9" style="372" customWidth="1"/>
    <col min="1040" max="1040" width="6.6640625" style="372" customWidth="1"/>
    <col min="1041" max="1041" width="11.44140625" style="372" customWidth="1"/>
    <col min="1042" max="1042" width="12.33203125" style="372" customWidth="1"/>
    <col min="1043" max="1043" width="11.33203125" style="372" customWidth="1"/>
    <col min="1044" max="1044" width="12.44140625" style="372" customWidth="1"/>
    <col min="1045" max="1045" width="13" style="372" customWidth="1"/>
    <col min="1046" max="1046" width="9.5546875" style="372" customWidth="1"/>
    <col min="1047" max="1047" width="11.44140625" style="372" customWidth="1"/>
    <col min="1048" max="1277" width="9.109375" style="372"/>
    <col min="1278" max="1278" width="9.44140625" style="372" customWidth="1"/>
    <col min="1279" max="1279" width="31.44140625" style="372" customWidth="1"/>
    <col min="1280" max="1285" width="0" style="372" hidden="1" customWidth="1"/>
    <col min="1286" max="1286" width="8.6640625" style="372" customWidth="1"/>
    <col min="1287" max="1287" width="8.109375" style="372" customWidth="1"/>
    <col min="1288" max="1288" width="14.44140625" style="372" customWidth="1"/>
    <col min="1289" max="1289" width="13.33203125" style="372" customWidth="1"/>
    <col min="1290" max="1290" width="9.6640625" style="372" customWidth="1"/>
    <col min="1291" max="1291" width="13.5546875" style="372" customWidth="1"/>
    <col min="1292" max="1292" width="10.5546875" style="372" customWidth="1"/>
    <col min="1293" max="1293" width="11.33203125" style="372" customWidth="1"/>
    <col min="1294" max="1294" width="8.6640625" style="372" customWidth="1"/>
    <col min="1295" max="1295" width="9" style="372" customWidth="1"/>
    <col min="1296" max="1296" width="6.6640625" style="372" customWidth="1"/>
    <col min="1297" max="1297" width="11.44140625" style="372" customWidth="1"/>
    <col min="1298" max="1298" width="12.33203125" style="372" customWidth="1"/>
    <col min="1299" max="1299" width="11.33203125" style="372" customWidth="1"/>
    <col min="1300" max="1300" width="12.44140625" style="372" customWidth="1"/>
    <col min="1301" max="1301" width="13" style="372" customWidth="1"/>
    <col min="1302" max="1302" width="9.5546875" style="372" customWidth="1"/>
    <col min="1303" max="1303" width="11.44140625" style="372" customWidth="1"/>
    <col min="1304" max="1533" width="9.109375" style="372"/>
    <col min="1534" max="1534" width="9.44140625" style="372" customWidth="1"/>
    <col min="1535" max="1535" width="31.44140625" style="372" customWidth="1"/>
    <col min="1536" max="1541" width="0" style="372" hidden="1" customWidth="1"/>
    <col min="1542" max="1542" width="8.6640625" style="372" customWidth="1"/>
    <col min="1543" max="1543" width="8.109375" style="372" customWidth="1"/>
    <col min="1544" max="1544" width="14.44140625" style="372" customWidth="1"/>
    <col min="1545" max="1545" width="13.33203125" style="372" customWidth="1"/>
    <col min="1546" max="1546" width="9.6640625" style="372" customWidth="1"/>
    <col min="1547" max="1547" width="13.5546875" style="372" customWidth="1"/>
    <col min="1548" max="1548" width="10.5546875" style="372" customWidth="1"/>
    <col min="1549" max="1549" width="11.33203125" style="372" customWidth="1"/>
    <col min="1550" max="1550" width="8.6640625" style="372" customWidth="1"/>
    <col min="1551" max="1551" width="9" style="372" customWidth="1"/>
    <col min="1552" max="1552" width="6.6640625" style="372" customWidth="1"/>
    <col min="1553" max="1553" width="11.44140625" style="372" customWidth="1"/>
    <col min="1554" max="1554" width="12.33203125" style="372" customWidth="1"/>
    <col min="1555" max="1555" width="11.33203125" style="372" customWidth="1"/>
    <col min="1556" max="1556" width="12.44140625" style="372" customWidth="1"/>
    <col min="1557" max="1557" width="13" style="372" customWidth="1"/>
    <col min="1558" max="1558" width="9.5546875" style="372" customWidth="1"/>
    <col min="1559" max="1559" width="11.44140625" style="372" customWidth="1"/>
    <col min="1560" max="1789" width="9.109375" style="372"/>
    <col min="1790" max="1790" width="9.44140625" style="372" customWidth="1"/>
    <col min="1791" max="1791" width="31.44140625" style="372" customWidth="1"/>
    <col min="1792" max="1797" width="0" style="372" hidden="1" customWidth="1"/>
    <col min="1798" max="1798" width="8.6640625" style="372" customWidth="1"/>
    <col min="1799" max="1799" width="8.109375" style="372" customWidth="1"/>
    <col min="1800" max="1800" width="14.44140625" style="372" customWidth="1"/>
    <col min="1801" max="1801" width="13.33203125" style="372" customWidth="1"/>
    <col min="1802" max="1802" width="9.6640625" style="372" customWidth="1"/>
    <col min="1803" max="1803" width="13.5546875" style="372" customWidth="1"/>
    <col min="1804" max="1804" width="10.5546875" style="372" customWidth="1"/>
    <col min="1805" max="1805" width="11.33203125" style="372" customWidth="1"/>
    <col min="1806" max="1806" width="8.6640625" style="372" customWidth="1"/>
    <col min="1807" max="1807" width="9" style="372" customWidth="1"/>
    <col min="1808" max="1808" width="6.6640625" style="372" customWidth="1"/>
    <col min="1809" max="1809" width="11.44140625" style="372" customWidth="1"/>
    <col min="1810" max="1810" width="12.33203125" style="372" customWidth="1"/>
    <col min="1811" max="1811" width="11.33203125" style="372" customWidth="1"/>
    <col min="1812" max="1812" width="12.44140625" style="372" customWidth="1"/>
    <col min="1813" max="1813" width="13" style="372" customWidth="1"/>
    <col min="1814" max="1814" width="9.5546875" style="372" customWidth="1"/>
    <col min="1815" max="1815" width="11.44140625" style="372" customWidth="1"/>
    <col min="1816" max="2045" width="9.109375" style="372"/>
    <col min="2046" max="2046" width="9.44140625" style="372" customWidth="1"/>
    <col min="2047" max="2047" width="31.44140625" style="372" customWidth="1"/>
    <col min="2048" max="2053" width="0" style="372" hidden="1" customWidth="1"/>
    <col min="2054" max="2054" width="8.6640625" style="372" customWidth="1"/>
    <col min="2055" max="2055" width="8.109375" style="372" customWidth="1"/>
    <col min="2056" max="2056" width="14.44140625" style="372" customWidth="1"/>
    <col min="2057" max="2057" width="13.33203125" style="372" customWidth="1"/>
    <col min="2058" max="2058" width="9.6640625" style="372" customWidth="1"/>
    <col min="2059" max="2059" width="13.5546875" style="372" customWidth="1"/>
    <col min="2060" max="2060" width="10.5546875" style="372" customWidth="1"/>
    <col min="2061" max="2061" width="11.33203125" style="372" customWidth="1"/>
    <col min="2062" max="2062" width="8.6640625" style="372" customWidth="1"/>
    <col min="2063" max="2063" width="9" style="372" customWidth="1"/>
    <col min="2064" max="2064" width="6.6640625" style="372" customWidth="1"/>
    <col min="2065" max="2065" width="11.44140625" style="372" customWidth="1"/>
    <col min="2066" max="2066" width="12.33203125" style="372" customWidth="1"/>
    <col min="2067" max="2067" width="11.33203125" style="372" customWidth="1"/>
    <col min="2068" max="2068" width="12.44140625" style="372" customWidth="1"/>
    <col min="2069" max="2069" width="13" style="372" customWidth="1"/>
    <col min="2070" max="2070" width="9.5546875" style="372" customWidth="1"/>
    <col min="2071" max="2071" width="11.44140625" style="372" customWidth="1"/>
    <col min="2072" max="2301" width="9.109375" style="372"/>
    <col min="2302" max="2302" width="9.44140625" style="372" customWidth="1"/>
    <col min="2303" max="2303" width="31.44140625" style="372" customWidth="1"/>
    <col min="2304" max="2309" width="0" style="372" hidden="1" customWidth="1"/>
    <col min="2310" max="2310" width="8.6640625" style="372" customWidth="1"/>
    <col min="2311" max="2311" width="8.109375" style="372" customWidth="1"/>
    <col min="2312" max="2312" width="14.44140625" style="372" customWidth="1"/>
    <col min="2313" max="2313" width="13.33203125" style="372" customWidth="1"/>
    <col min="2314" max="2314" width="9.6640625" style="372" customWidth="1"/>
    <col min="2315" max="2315" width="13.5546875" style="372" customWidth="1"/>
    <col min="2316" max="2316" width="10.5546875" style="372" customWidth="1"/>
    <col min="2317" max="2317" width="11.33203125" style="372" customWidth="1"/>
    <col min="2318" max="2318" width="8.6640625" style="372" customWidth="1"/>
    <col min="2319" max="2319" width="9" style="372" customWidth="1"/>
    <col min="2320" max="2320" width="6.6640625" style="372" customWidth="1"/>
    <col min="2321" max="2321" width="11.44140625" style="372" customWidth="1"/>
    <col min="2322" max="2322" width="12.33203125" style="372" customWidth="1"/>
    <col min="2323" max="2323" width="11.33203125" style="372" customWidth="1"/>
    <col min="2324" max="2324" width="12.44140625" style="372" customWidth="1"/>
    <col min="2325" max="2325" width="13" style="372" customWidth="1"/>
    <col min="2326" max="2326" width="9.5546875" style="372" customWidth="1"/>
    <col min="2327" max="2327" width="11.44140625" style="372" customWidth="1"/>
    <col min="2328" max="2557" width="9.109375" style="372"/>
    <col min="2558" max="2558" width="9.44140625" style="372" customWidth="1"/>
    <col min="2559" max="2559" width="31.44140625" style="372" customWidth="1"/>
    <col min="2560" max="2565" width="0" style="372" hidden="1" customWidth="1"/>
    <col min="2566" max="2566" width="8.6640625" style="372" customWidth="1"/>
    <col min="2567" max="2567" width="8.109375" style="372" customWidth="1"/>
    <col min="2568" max="2568" width="14.44140625" style="372" customWidth="1"/>
    <col min="2569" max="2569" width="13.33203125" style="372" customWidth="1"/>
    <col min="2570" max="2570" width="9.6640625" style="372" customWidth="1"/>
    <col min="2571" max="2571" width="13.5546875" style="372" customWidth="1"/>
    <col min="2572" max="2572" width="10.5546875" style="372" customWidth="1"/>
    <col min="2573" max="2573" width="11.33203125" style="372" customWidth="1"/>
    <col min="2574" max="2574" width="8.6640625" style="372" customWidth="1"/>
    <col min="2575" max="2575" width="9" style="372" customWidth="1"/>
    <col min="2576" max="2576" width="6.6640625" style="372" customWidth="1"/>
    <col min="2577" max="2577" width="11.44140625" style="372" customWidth="1"/>
    <col min="2578" max="2578" width="12.33203125" style="372" customWidth="1"/>
    <col min="2579" max="2579" width="11.33203125" style="372" customWidth="1"/>
    <col min="2580" max="2580" width="12.44140625" style="372" customWidth="1"/>
    <col min="2581" max="2581" width="13" style="372" customWidth="1"/>
    <col min="2582" max="2582" width="9.5546875" style="372" customWidth="1"/>
    <col min="2583" max="2583" width="11.44140625" style="372" customWidth="1"/>
    <col min="2584" max="2813" width="9.109375" style="372"/>
    <col min="2814" max="2814" width="9.44140625" style="372" customWidth="1"/>
    <col min="2815" max="2815" width="31.44140625" style="372" customWidth="1"/>
    <col min="2816" max="2821" width="0" style="372" hidden="1" customWidth="1"/>
    <col min="2822" max="2822" width="8.6640625" style="372" customWidth="1"/>
    <col min="2823" max="2823" width="8.109375" style="372" customWidth="1"/>
    <col min="2824" max="2824" width="14.44140625" style="372" customWidth="1"/>
    <col min="2825" max="2825" width="13.33203125" style="372" customWidth="1"/>
    <col min="2826" max="2826" width="9.6640625" style="372" customWidth="1"/>
    <col min="2827" max="2827" width="13.5546875" style="372" customWidth="1"/>
    <col min="2828" max="2828" width="10.5546875" style="372" customWidth="1"/>
    <col min="2829" max="2829" width="11.33203125" style="372" customWidth="1"/>
    <col min="2830" max="2830" width="8.6640625" style="372" customWidth="1"/>
    <col min="2831" max="2831" width="9" style="372" customWidth="1"/>
    <col min="2832" max="2832" width="6.6640625" style="372" customWidth="1"/>
    <col min="2833" max="2833" width="11.44140625" style="372" customWidth="1"/>
    <col min="2834" max="2834" width="12.33203125" style="372" customWidth="1"/>
    <col min="2835" max="2835" width="11.33203125" style="372" customWidth="1"/>
    <col min="2836" max="2836" width="12.44140625" style="372" customWidth="1"/>
    <col min="2837" max="2837" width="13" style="372" customWidth="1"/>
    <col min="2838" max="2838" width="9.5546875" style="372" customWidth="1"/>
    <col min="2839" max="2839" width="11.44140625" style="372" customWidth="1"/>
    <col min="2840" max="3069" width="9.109375" style="372"/>
    <col min="3070" max="3070" width="9.44140625" style="372" customWidth="1"/>
    <col min="3071" max="3071" width="31.44140625" style="372" customWidth="1"/>
    <col min="3072" max="3077" width="0" style="372" hidden="1" customWidth="1"/>
    <col min="3078" max="3078" width="8.6640625" style="372" customWidth="1"/>
    <col min="3079" max="3079" width="8.109375" style="372" customWidth="1"/>
    <col min="3080" max="3080" width="14.44140625" style="372" customWidth="1"/>
    <col min="3081" max="3081" width="13.33203125" style="372" customWidth="1"/>
    <col min="3082" max="3082" width="9.6640625" style="372" customWidth="1"/>
    <col min="3083" max="3083" width="13.5546875" style="372" customWidth="1"/>
    <col min="3084" max="3084" width="10.5546875" style="372" customWidth="1"/>
    <col min="3085" max="3085" width="11.33203125" style="372" customWidth="1"/>
    <col min="3086" max="3086" width="8.6640625" style="372" customWidth="1"/>
    <col min="3087" max="3087" width="9" style="372" customWidth="1"/>
    <col min="3088" max="3088" width="6.6640625" style="372" customWidth="1"/>
    <col min="3089" max="3089" width="11.44140625" style="372" customWidth="1"/>
    <col min="3090" max="3090" width="12.33203125" style="372" customWidth="1"/>
    <col min="3091" max="3091" width="11.33203125" style="372" customWidth="1"/>
    <col min="3092" max="3092" width="12.44140625" style="372" customWidth="1"/>
    <col min="3093" max="3093" width="13" style="372" customWidth="1"/>
    <col min="3094" max="3094" width="9.5546875" style="372" customWidth="1"/>
    <col min="3095" max="3095" width="11.44140625" style="372" customWidth="1"/>
    <col min="3096" max="3325" width="9.109375" style="372"/>
    <col min="3326" max="3326" width="9.44140625" style="372" customWidth="1"/>
    <col min="3327" max="3327" width="31.44140625" style="372" customWidth="1"/>
    <col min="3328" max="3333" width="0" style="372" hidden="1" customWidth="1"/>
    <col min="3334" max="3334" width="8.6640625" style="372" customWidth="1"/>
    <col min="3335" max="3335" width="8.109375" style="372" customWidth="1"/>
    <col min="3336" max="3336" width="14.44140625" style="372" customWidth="1"/>
    <col min="3337" max="3337" width="13.33203125" style="372" customWidth="1"/>
    <col min="3338" max="3338" width="9.6640625" style="372" customWidth="1"/>
    <col min="3339" max="3339" width="13.5546875" style="372" customWidth="1"/>
    <col min="3340" max="3340" width="10.5546875" style="372" customWidth="1"/>
    <col min="3341" max="3341" width="11.33203125" style="372" customWidth="1"/>
    <col min="3342" max="3342" width="8.6640625" style="372" customWidth="1"/>
    <col min="3343" max="3343" width="9" style="372" customWidth="1"/>
    <col min="3344" max="3344" width="6.6640625" style="372" customWidth="1"/>
    <col min="3345" max="3345" width="11.44140625" style="372" customWidth="1"/>
    <col min="3346" max="3346" width="12.33203125" style="372" customWidth="1"/>
    <col min="3347" max="3347" width="11.33203125" style="372" customWidth="1"/>
    <col min="3348" max="3348" width="12.44140625" style="372" customWidth="1"/>
    <col min="3349" max="3349" width="13" style="372" customWidth="1"/>
    <col min="3350" max="3350" width="9.5546875" style="372" customWidth="1"/>
    <col min="3351" max="3351" width="11.44140625" style="372" customWidth="1"/>
    <col min="3352" max="3581" width="9.109375" style="372"/>
    <col min="3582" max="3582" width="9.44140625" style="372" customWidth="1"/>
    <col min="3583" max="3583" width="31.44140625" style="372" customWidth="1"/>
    <col min="3584" max="3589" width="0" style="372" hidden="1" customWidth="1"/>
    <col min="3590" max="3590" width="8.6640625" style="372" customWidth="1"/>
    <col min="3591" max="3591" width="8.109375" style="372" customWidth="1"/>
    <col min="3592" max="3592" width="14.44140625" style="372" customWidth="1"/>
    <col min="3593" max="3593" width="13.33203125" style="372" customWidth="1"/>
    <col min="3594" max="3594" width="9.6640625" style="372" customWidth="1"/>
    <col min="3595" max="3595" width="13.5546875" style="372" customWidth="1"/>
    <col min="3596" max="3596" width="10.5546875" style="372" customWidth="1"/>
    <col min="3597" max="3597" width="11.33203125" style="372" customWidth="1"/>
    <col min="3598" max="3598" width="8.6640625" style="372" customWidth="1"/>
    <col min="3599" max="3599" width="9" style="372" customWidth="1"/>
    <col min="3600" max="3600" width="6.6640625" style="372" customWidth="1"/>
    <col min="3601" max="3601" width="11.44140625" style="372" customWidth="1"/>
    <col min="3602" max="3602" width="12.33203125" style="372" customWidth="1"/>
    <col min="3603" max="3603" width="11.33203125" style="372" customWidth="1"/>
    <col min="3604" max="3604" width="12.44140625" style="372" customWidth="1"/>
    <col min="3605" max="3605" width="13" style="372" customWidth="1"/>
    <col min="3606" max="3606" width="9.5546875" style="372" customWidth="1"/>
    <col min="3607" max="3607" width="11.44140625" style="372" customWidth="1"/>
    <col min="3608" max="3837" width="9.109375" style="372"/>
    <col min="3838" max="3838" width="9.44140625" style="372" customWidth="1"/>
    <col min="3839" max="3839" width="31.44140625" style="372" customWidth="1"/>
    <col min="3840" max="3845" width="0" style="372" hidden="1" customWidth="1"/>
    <col min="3846" max="3846" width="8.6640625" style="372" customWidth="1"/>
    <col min="3847" max="3847" width="8.109375" style="372" customWidth="1"/>
    <col min="3848" max="3848" width="14.44140625" style="372" customWidth="1"/>
    <col min="3849" max="3849" width="13.33203125" style="372" customWidth="1"/>
    <col min="3850" max="3850" width="9.6640625" style="372" customWidth="1"/>
    <col min="3851" max="3851" width="13.5546875" style="372" customWidth="1"/>
    <col min="3852" max="3852" width="10.5546875" style="372" customWidth="1"/>
    <col min="3853" max="3853" width="11.33203125" style="372" customWidth="1"/>
    <col min="3854" max="3854" width="8.6640625" style="372" customWidth="1"/>
    <col min="3855" max="3855" width="9" style="372" customWidth="1"/>
    <col min="3856" max="3856" width="6.6640625" style="372" customWidth="1"/>
    <col min="3857" max="3857" width="11.44140625" style="372" customWidth="1"/>
    <col min="3858" max="3858" width="12.33203125" style="372" customWidth="1"/>
    <col min="3859" max="3859" width="11.33203125" style="372" customWidth="1"/>
    <col min="3860" max="3860" width="12.44140625" style="372" customWidth="1"/>
    <col min="3861" max="3861" width="13" style="372" customWidth="1"/>
    <col min="3862" max="3862" width="9.5546875" style="372" customWidth="1"/>
    <col min="3863" max="3863" width="11.44140625" style="372" customWidth="1"/>
    <col min="3864" max="4093" width="9.109375" style="372"/>
    <col min="4094" max="4094" width="9.44140625" style="372" customWidth="1"/>
    <col min="4095" max="4095" width="31.44140625" style="372" customWidth="1"/>
    <col min="4096" max="4101" width="0" style="372" hidden="1" customWidth="1"/>
    <col min="4102" max="4102" width="8.6640625" style="372" customWidth="1"/>
    <col min="4103" max="4103" width="8.109375" style="372" customWidth="1"/>
    <col min="4104" max="4104" width="14.44140625" style="372" customWidth="1"/>
    <col min="4105" max="4105" width="13.33203125" style="372" customWidth="1"/>
    <col min="4106" max="4106" width="9.6640625" style="372" customWidth="1"/>
    <col min="4107" max="4107" width="13.5546875" style="372" customWidth="1"/>
    <col min="4108" max="4108" width="10.5546875" style="372" customWidth="1"/>
    <col min="4109" max="4109" width="11.33203125" style="372" customWidth="1"/>
    <col min="4110" max="4110" width="8.6640625" style="372" customWidth="1"/>
    <col min="4111" max="4111" width="9" style="372" customWidth="1"/>
    <col min="4112" max="4112" width="6.6640625" style="372" customWidth="1"/>
    <col min="4113" max="4113" width="11.44140625" style="372" customWidth="1"/>
    <col min="4114" max="4114" width="12.33203125" style="372" customWidth="1"/>
    <col min="4115" max="4115" width="11.33203125" style="372" customWidth="1"/>
    <col min="4116" max="4116" width="12.44140625" style="372" customWidth="1"/>
    <col min="4117" max="4117" width="13" style="372" customWidth="1"/>
    <col min="4118" max="4118" width="9.5546875" style="372" customWidth="1"/>
    <col min="4119" max="4119" width="11.44140625" style="372" customWidth="1"/>
    <col min="4120" max="4349" width="9.109375" style="372"/>
    <col min="4350" max="4350" width="9.44140625" style="372" customWidth="1"/>
    <col min="4351" max="4351" width="31.44140625" style="372" customWidth="1"/>
    <col min="4352" max="4357" width="0" style="372" hidden="1" customWidth="1"/>
    <col min="4358" max="4358" width="8.6640625" style="372" customWidth="1"/>
    <col min="4359" max="4359" width="8.109375" style="372" customWidth="1"/>
    <col min="4360" max="4360" width="14.44140625" style="372" customWidth="1"/>
    <col min="4361" max="4361" width="13.33203125" style="372" customWidth="1"/>
    <col min="4362" max="4362" width="9.6640625" style="372" customWidth="1"/>
    <col min="4363" max="4363" width="13.5546875" style="372" customWidth="1"/>
    <col min="4364" max="4364" width="10.5546875" style="372" customWidth="1"/>
    <col min="4365" max="4365" width="11.33203125" style="372" customWidth="1"/>
    <col min="4366" max="4366" width="8.6640625" style="372" customWidth="1"/>
    <col min="4367" max="4367" width="9" style="372" customWidth="1"/>
    <col min="4368" max="4368" width="6.6640625" style="372" customWidth="1"/>
    <col min="4369" max="4369" width="11.44140625" style="372" customWidth="1"/>
    <col min="4370" max="4370" width="12.33203125" style="372" customWidth="1"/>
    <col min="4371" max="4371" width="11.33203125" style="372" customWidth="1"/>
    <col min="4372" max="4372" width="12.44140625" style="372" customWidth="1"/>
    <col min="4373" max="4373" width="13" style="372" customWidth="1"/>
    <col min="4374" max="4374" width="9.5546875" style="372" customWidth="1"/>
    <col min="4375" max="4375" width="11.44140625" style="372" customWidth="1"/>
    <col min="4376" max="4605" width="9.109375" style="372"/>
    <col min="4606" max="4606" width="9.44140625" style="372" customWidth="1"/>
    <col min="4607" max="4607" width="31.44140625" style="372" customWidth="1"/>
    <col min="4608" max="4613" width="0" style="372" hidden="1" customWidth="1"/>
    <col min="4614" max="4614" width="8.6640625" style="372" customWidth="1"/>
    <col min="4615" max="4615" width="8.109375" style="372" customWidth="1"/>
    <col min="4616" max="4616" width="14.44140625" style="372" customWidth="1"/>
    <col min="4617" max="4617" width="13.33203125" style="372" customWidth="1"/>
    <col min="4618" max="4618" width="9.6640625" style="372" customWidth="1"/>
    <col min="4619" max="4619" width="13.5546875" style="372" customWidth="1"/>
    <col min="4620" max="4620" width="10.5546875" style="372" customWidth="1"/>
    <col min="4621" max="4621" width="11.33203125" style="372" customWidth="1"/>
    <col min="4622" max="4622" width="8.6640625" style="372" customWidth="1"/>
    <col min="4623" max="4623" width="9" style="372" customWidth="1"/>
    <col min="4624" max="4624" width="6.6640625" style="372" customWidth="1"/>
    <col min="4625" max="4625" width="11.44140625" style="372" customWidth="1"/>
    <col min="4626" max="4626" width="12.33203125" style="372" customWidth="1"/>
    <col min="4627" max="4627" width="11.33203125" style="372" customWidth="1"/>
    <col min="4628" max="4628" width="12.44140625" style="372" customWidth="1"/>
    <col min="4629" max="4629" width="13" style="372" customWidth="1"/>
    <col min="4630" max="4630" width="9.5546875" style="372" customWidth="1"/>
    <col min="4631" max="4631" width="11.44140625" style="372" customWidth="1"/>
    <col min="4632" max="4861" width="9.109375" style="372"/>
    <col min="4862" max="4862" width="9.44140625" style="372" customWidth="1"/>
    <col min="4863" max="4863" width="31.44140625" style="372" customWidth="1"/>
    <col min="4864" max="4869" width="0" style="372" hidden="1" customWidth="1"/>
    <col min="4870" max="4870" width="8.6640625" style="372" customWidth="1"/>
    <col min="4871" max="4871" width="8.109375" style="372" customWidth="1"/>
    <col min="4872" max="4872" width="14.44140625" style="372" customWidth="1"/>
    <col min="4873" max="4873" width="13.33203125" style="372" customWidth="1"/>
    <col min="4874" max="4874" width="9.6640625" style="372" customWidth="1"/>
    <col min="4875" max="4875" width="13.5546875" style="372" customWidth="1"/>
    <col min="4876" max="4876" width="10.5546875" style="372" customWidth="1"/>
    <col min="4877" max="4877" width="11.33203125" style="372" customWidth="1"/>
    <col min="4878" max="4878" width="8.6640625" style="372" customWidth="1"/>
    <col min="4879" max="4879" width="9" style="372" customWidth="1"/>
    <col min="4880" max="4880" width="6.6640625" style="372" customWidth="1"/>
    <col min="4881" max="4881" width="11.44140625" style="372" customWidth="1"/>
    <col min="4882" max="4882" width="12.33203125" style="372" customWidth="1"/>
    <col min="4883" max="4883" width="11.33203125" style="372" customWidth="1"/>
    <col min="4884" max="4884" width="12.44140625" style="372" customWidth="1"/>
    <col min="4885" max="4885" width="13" style="372" customWidth="1"/>
    <col min="4886" max="4886" width="9.5546875" style="372" customWidth="1"/>
    <col min="4887" max="4887" width="11.44140625" style="372" customWidth="1"/>
    <col min="4888" max="5117" width="9.109375" style="372"/>
    <col min="5118" max="5118" width="9.44140625" style="372" customWidth="1"/>
    <col min="5119" max="5119" width="31.44140625" style="372" customWidth="1"/>
    <col min="5120" max="5125" width="0" style="372" hidden="1" customWidth="1"/>
    <col min="5126" max="5126" width="8.6640625" style="372" customWidth="1"/>
    <col min="5127" max="5127" width="8.109375" style="372" customWidth="1"/>
    <col min="5128" max="5128" width="14.44140625" style="372" customWidth="1"/>
    <col min="5129" max="5129" width="13.33203125" style="372" customWidth="1"/>
    <col min="5130" max="5130" width="9.6640625" style="372" customWidth="1"/>
    <col min="5131" max="5131" width="13.5546875" style="372" customWidth="1"/>
    <col min="5132" max="5132" width="10.5546875" style="372" customWidth="1"/>
    <col min="5133" max="5133" width="11.33203125" style="372" customWidth="1"/>
    <col min="5134" max="5134" width="8.6640625" style="372" customWidth="1"/>
    <col min="5135" max="5135" width="9" style="372" customWidth="1"/>
    <col min="5136" max="5136" width="6.6640625" style="372" customWidth="1"/>
    <col min="5137" max="5137" width="11.44140625" style="372" customWidth="1"/>
    <col min="5138" max="5138" width="12.33203125" style="372" customWidth="1"/>
    <col min="5139" max="5139" width="11.33203125" style="372" customWidth="1"/>
    <col min="5140" max="5140" width="12.44140625" style="372" customWidth="1"/>
    <col min="5141" max="5141" width="13" style="372" customWidth="1"/>
    <col min="5142" max="5142" width="9.5546875" style="372" customWidth="1"/>
    <col min="5143" max="5143" width="11.44140625" style="372" customWidth="1"/>
    <col min="5144" max="5373" width="9.109375" style="372"/>
    <col min="5374" max="5374" width="9.44140625" style="372" customWidth="1"/>
    <col min="5375" max="5375" width="31.44140625" style="372" customWidth="1"/>
    <col min="5376" max="5381" width="0" style="372" hidden="1" customWidth="1"/>
    <col min="5382" max="5382" width="8.6640625" style="372" customWidth="1"/>
    <col min="5383" max="5383" width="8.109375" style="372" customWidth="1"/>
    <col min="5384" max="5384" width="14.44140625" style="372" customWidth="1"/>
    <col min="5385" max="5385" width="13.33203125" style="372" customWidth="1"/>
    <col min="5386" max="5386" width="9.6640625" style="372" customWidth="1"/>
    <col min="5387" max="5387" width="13.5546875" style="372" customWidth="1"/>
    <col min="5388" max="5388" width="10.5546875" style="372" customWidth="1"/>
    <col min="5389" max="5389" width="11.33203125" style="372" customWidth="1"/>
    <col min="5390" max="5390" width="8.6640625" style="372" customWidth="1"/>
    <col min="5391" max="5391" width="9" style="372" customWidth="1"/>
    <col min="5392" max="5392" width="6.6640625" style="372" customWidth="1"/>
    <col min="5393" max="5393" width="11.44140625" style="372" customWidth="1"/>
    <col min="5394" max="5394" width="12.33203125" style="372" customWidth="1"/>
    <col min="5395" max="5395" width="11.33203125" style="372" customWidth="1"/>
    <col min="5396" max="5396" width="12.44140625" style="372" customWidth="1"/>
    <col min="5397" max="5397" width="13" style="372" customWidth="1"/>
    <col min="5398" max="5398" width="9.5546875" style="372" customWidth="1"/>
    <col min="5399" max="5399" width="11.44140625" style="372" customWidth="1"/>
    <col min="5400" max="5629" width="9.109375" style="372"/>
    <col min="5630" max="5630" width="9.44140625" style="372" customWidth="1"/>
    <col min="5631" max="5631" width="31.44140625" style="372" customWidth="1"/>
    <col min="5632" max="5637" width="0" style="372" hidden="1" customWidth="1"/>
    <col min="5638" max="5638" width="8.6640625" style="372" customWidth="1"/>
    <col min="5639" max="5639" width="8.109375" style="372" customWidth="1"/>
    <col min="5640" max="5640" width="14.44140625" style="372" customWidth="1"/>
    <col min="5641" max="5641" width="13.33203125" style="372" customWidth="1"/>
    <col min="5642" max="5642" width="9.6640625" style="372" customWidth="1"/>
    <col min="5643" max="5643" width="13.5546875" style="372" customWidth="1"/>
    <col min="5644" max="5644" width="10.5546875" style="372" customWidth="1"/>
    <col min="5645" max="5645" width="11.33203125" style="372" customWidth="1"/>
    <col min="5646" max="5646" width="8.6640625" style="372" customWidth="1"/>
    <col min="5647" max="5647" width="9" style="372" customWidth="1"/>
    <col min="5648" max="5648" width="6.6640625" style="372" customWidth="1"/>
    <col min="5649" max="5649" width="11.44140625" style="372" customWidth="1"/>
    <col min="5650" max="5650" width="12.33203125" style="372" customWidth="1"/>
    <col min="5651" max="5651" width="11.33203125" style="372" customWidth="1"/>
    <col min="5652" max="5652" width="12.44140625" style="372" customWidth="1"/>
    <col min="5653" max="5653" width="13" style="372" customWidth="1"/>
    <col min="5654" max="5654" width="9.5546875" style="372" customWidth="1"/>
    <col min="5655" max="5655" width="11.44140625" style="372" customWidth="1"/>
    <col min="5656" max="5885" width="9.109375" style="372"/>
    <col min="5886" max="5886" width="9.44140625" style="372" customWidth="1"/>
    <col min="5887" max="5887" width="31.44140625" style="372" customWidth="1"/>
    <col min="5888" max="5893" width="0" style="372" hidden="1" customWidth="1"/>
    <col min="5894" max="5894" width="8.6640625" style="372" customWidth="1"/>
    <col min="5895" max="5895" width="8.109375" style="372" customWidth="1"/>
    <col min="5896" max="5896" width="14.44140625" style="372" customWidth="1"/>
    <col min="5897" max="5897" width="13.33203125" style="372" customWidth="1"/>
    <col min="5898" max="5898" width="9.6640625" style="372" customWidth="1"/>
    <col min="5899" max="5899" width="13.5546875" style="372" customWidth="1"/>
    <col min="5900" max="5900" width="10.5546875" style="372" customWidth="1"/>
    <col min="5901" max="5901" width="11.33203125" style="372" customWidth="1"/>
    <col min="5902" max="5902" width="8.6640625" style="372" customWidth="1"/>
    <col min="5903" max="5903" width="9" style="372" customWidth="1"/>
    <col min="5904" max="5904" width="6.6640625" style="372" customWidth="1"/>
    <col min="5905" max="5905" width="11.44140625" style="372" customWidth="1"/>
    <col min="5906" max="5906" width="12.33203125" style="372" customWidth="1"/>
    <col min="5907" max="5907" width="11.33203125" style="372" customWidth="1"/>
    <col min="5908" max="5908" width="12.44140625" style="372" customWidth="1"/>
    <col min="5909" max="5909" width="13" style="372" customWidth="1"/>
    <col min="5910" max="5910" width="9.5546875" style="372" customWidth="1"/>
    <col min="5911" max="5911" width="11.44140625" style="372" customWidth="1"/>
    <col min="5912" max="6141" width="9.109375" style="372"/>
    <col min="6142" max="6142" width="9.44140625" style="372" customWidth="1"/>
    <col min="6143" max="6143" width="31.44140625" style="372" customWidth="1"/>
    <col min="6144" max="6149" width="0" style="372" hidden="1" customWidth="1"/>
    <col min="6150" max="6150" width="8.6640625" style="372" customWidth="1"/>
    <col min="6151" max="6151" width="8.109375" style="372" customWidth="1"/>
    <col min="6152" max="6152" width="14.44140625" style="372" customWidth="1"/>
    <col min="6153" max="6153" width="13.33203125" style="372" customWidth="1"/>
    <col min="6154" max="6154" width="9.6640625" style="372" customWidth="1"/>
    <col min="6155" max="6155" width="13.5546875" style="372" customWidth="1"/>
    <col min="6156" max="6156" width="10.5546875" style="372" customWidth="1"/>
    <col min="6157" max="6157" width="11.33203125" style="372" customWidth="1"/>
    <col min="6158" max="6158" width="8.6640625" style="372" customWidth="1"/>
    <col min="6159" max="6159" width="9" style="372" customWidth="1"/>
    <col min="6160" max="6160" width="6.6640625" style="372" customWidth="1"/>
    <col min="6161" max="6161" width="11.44140625" style="372" customWidth="1"/>
    <col min="6162" max="6162" width="12.33203125" style="372" customWidth="1"/>
    <col min="6163" max="6163" width="11.33203125" style="372" customWidth="1"/>
    <col min="6164" max="6164" width="12.44140625" style="372" customWidth="1"/>
    <col min="6165" max="6165" width="13" style="372" customWidth="1"/>
    <col min="6166" max="6166" width="9.5546875" style="372" customWidth="1"/>
    <col min="6167" max="6167" width="11.44140625" style="372" customWidth="1"/>
    <col min="6168" max="6397" width="9.109375" style="372"/>
    <col min="6398" max="6398" width="9.44140625" style="372" customWidth="1"/>
    <col min="6399" max="6399" width="31.44140625" style="372" customWidth="1"/>
    <col min="6400" max="6405" width="0" style="372" hidden="1" customWidth="1"/>
    <col min="6406" max="6406" width="8.6640625" style="372" customWidth="1"/>
    <col min="6407" max="6407" width="8.109375" style="372" customWidth="1"/>
    <col min="6408" max="6408" width="14.44140625" style="372" customWidth="1"/>
    <col min="6409" max="6409" width="13.33203125" style="372" customWidth="1"/>
    <col min="6410" max="6410" width="9.6640625" style="372" customWidth="1"/>
    <col min="6411" max="6411" width="13.5546875" style="372" customWidth="1"/>
    <col min="6412" max="6412" width="10.5546875" style="372" customWidth="1"/>
    <col min="6413" max="6413" width="11.33203125" style="372" customWidth="1"/>
    <col min="6414" max="6414" width="8.6640625" style="372" customWidth="1"/>
    <col min="6415" max="6415" width="9" style="372" customWidth="1"/>
    <col min="6416" max="6416" width="6.6640625" style="372" customWidth="1"/>
    <col min="6417" max="6417" width="11.44140625" style="372" customWidth="1"/>
    <col min="6418" max="6418" width="12.33203125" style="372" customWidth="1"/>
    <col min="6419" max="6419" width="11.33203125" style="372" customWidth="1"/>
    <col min="6420" max="6420" width="12.44140625" style="372" customWidth="1"/>
    <col min="6421" max="6421" width="13" style="372" customWidth="1"/>
    <col min="6422" max="6422" width="9.5546875" style="372" customWidth="1"/>
    <col min="6423" max="6423" width="11.44140625" style="372" customWidth="1"/>
    <col min="6424" max="6653" width="9.109375" style="372"/>
    <col min="6654" max="6654" width="9.44140625" style="372" customWidth="1"/>
    <col min="6655" max="6655" width="31.44140625" style="372" customWidth="1"/>
    <col min="6656" max="6661" width="0" style="372" hidden="1" customWidth="1"/>
    <col min="6662" max="6662" width="8.6640625" style="372" customWidth="1"/>
    <col min="6663" max="6663" width="8.109375" style="372" customWidth="1"/>
    <col min="6664" max="6664" width="14.44140625" style="372" customWidth="1"/>
    <col min="6665" max="6665" width="13.33203125" style="372" customWidth="1"/>
    <col min="6666" max="6666" width="9.6640625" style="372" customWidth="1"/>
    <col min="6667" max="6667" width="13.5546875" style="372" customWidth="1"/>
    <col min="6668" max="6668" width="10.5546875" style="372" customWidth="1"/>
    <col min="6669" max="6669" width="11.33203125" style="372" customWidth="1"/>
    <col min="6670" max="6670" width="8.6640625" style="372" customWidth="1"/>
    <col min="6671" max="6671" width="9" style="372" customWidth="1"/>
    <col min="6672" max="6672" width="6.6640625" style="372" customWidth="1"/>
    <col min="6673" max="6673" width="11.44140625" style="372" customWidth="1"/>
    <col min="6674" max="6674" width="12.33203125" style="372" customWidth="1"/>
    <col min="6675" max="6675" width="11.33203125" style="372" customWidth="1"/>
    <col min="6676" max="6676" width="12.44140625" style="372" customWidth="1"/>
    <col min="6677" max="6677" width="13" style="372" customWidth="1"/>
    <col min="6678" max="6678" width="9.5546875" style="372" customWidth="1"/>
    <col min="6679" max="6679" width="11.44140625" style="372" customWidth="1"/>
    <col min="6680" max="6909" width="9.109375" style="372"/>
    <col min="6910" max="6910" width="9.44140625" style="372" customWidth="1"/>
    <col min="6911" max="6911" width="31.44140625" style="372" customWidth="1"/>
    <col min="6912" max="6917" width="0" style="372" hidden="1" customWidth="1"/>
    <col min="6918" max="6918" width="8.6640625" style="372" customWidth="1"/>
    <col min="6919" max="6919" width="8.109375" style="372" customWidth="1"/>
    <col min="6920" max="6920" width="14.44140625" style="372" customWidth="1"/>
    <col min="6921" max="6921" width="13.33203125" style="372" customWidth="1"/>
    <col min="6922" max="6922" width="9.6640625" style="372" customWidth="1"/>
    <col min="6923" max="6923" width="13.5546875" style="372" customWidth="1"/>
    <col min="6924" max="6924" width="10.5546875" style="372" customWidth="1"/>
    <col min="6925" max="6925" width="11.33203125" style="372" customWidth="1"/>
    <col min="6926" max="6926" width="8.6640625" style="372" customWidth="1"/>
    <col min="6927" max="6927" width="9" style="372" customWidth="1"/>
    <col min="6928" max="6928" width="6.6640625" style="372" customWidth="1"/>
    <col min="6929" max="6929" width="11.44140625" style="372" customWidth="1"/>
    <col min="6930" max="6930" width="12.33203125" style="372" customWidth="1"/>
    <col min="6931" max="6931" width="11.33203125" style="372" customWidth="1"/>
    <col min="6932" max="6932" width="12.44140625" style="372" customWidth="1"/>
    <col min="6933" max="6933" width="13" style="372" customWidth="1"/>
    <col min="6934" max="6934" width="9.5546875" style="372" customWidth="1"/>
    <col min="6935" max="6935" width="11.44140625" style="372" customWidth="1"/>
    <col min="6936" max="7165" width="9.109375" style="372"/>
    <col min="7166" max="7166" width="9.44140625" style="372" customWidth="1"/>
    <col min="7167" max="7167" width="31.44140625" style="372" customWidth="1"/>
    <col min="7168" max="7173" width="0" style="372" hidden="1" customWidth="1"/>
    <col min="7174" max="7174" width="8.6640625" style="372" customWidth="1"/>
    <col min="7175" max="7175" width="8.109375" style="372" customWidth="1"/>
    <col min="7176" max="7176" width="14.44140625" style="372" customWidth="1"/>
    <col min="7177" max="7177" width="13.33203125" style="372" customWidth="1"/>
    <col min="7178" max="7178" width="9.6640625" style="372" customWidth="1"/>
    <col min="7179" max="7179" width="13.5546875" style="372" customWidth="1"/>
    <col min="7180" max="7180" width="10.5546875" style="372" customWidth="1"/>
    <col min="7181" max="7181" width="11.33203125" style="372" customWidth="1"/>
    <col min="7182" max="7182" width="8.6640625" style="372" customWidth="1"/>
    <col min="7183" max="7183" width="9" style="372" customWidth="1"/>
    <col min="7184" max="7184" width="6.6640625" style="372" customWidth="1"/>
    <col min="7185" max="7185" width="11.44140625" style="372" customWidth="1"/>
    <col min="7186" max="7186" width="12.33203125" style="372" customWidth="1"/>
    <col min="7187" max="7187" width="11.33203125" style="372" customWidth="1"/>
    <col min="7188" max="7188" width="12.44140625" style="372" customWidth="1"/>
    <col min="7189" max="7189" width="13" style="372" customWidth="1"/>
    <col min="7190" max="7190" width="9.5546875" style="372" customWidth="1"/>
    <col min="7191" max="7191" width="11.44140625" style="372" customWidth="1"/>
    <col min="7192" max="7421" width="9.109375" style="372"/>
    <col min="7422" max="7422" width="9.44140625" style="372" customWidth="1"/>
    <col min="7423" max="7423" width="31.44140625" style="372" customWidth="1"/>
    <col min="7424" max="7429" width="0" style="372" hidden="1" customWidth="1"/>
    <col min="7430" max="7430" width="8.6640625" style="372" customWidth="1"/>
    <col min="7431" max="7431" width="8.109375" style="372" customWidth="1"/>
    <col min="7432" max="7432" width="14.44140625" style="372" customWidth="1"/>
    <col min="7433" max="7433" width="13.33203125" style="372" customWidth="1"/>
    <col min="7434" max="7434" width="9.6640625" style="372" customWidth="1"/>
    <col min="7435" max="7435" width="13.5546875" style="372" customWidth="1"/>
    <col min="7436" max="7436" width="10.5546875" style="372" customWidth="1"/>
    <col min="7437" max="7437" width="11.33203125" style="372" customWidth="1"/>
    <col min="7438" max="7438" width="8.6640625" style="372" customWidth="1"/>
    <col min="7439" max="7439" width="9" style="372" customWidth="1"/>
    <col min="7440" max="7440" width="6.6640625" style="372" customWidth="1"/>
    <col min="7441" max="7441" width="11.44140625" style="372" customWidth="1"/>
    <col min="7442" max="7442" width="12.33203125" style="372" customWidth="1"/>
    <col min="7443" max="7443" width="11.33203125" style="372" customWidth="1"/>
    <col min="7444" max="7444" width="12.44140625" style="372" customWidth="1"/>
    <col min="7445" max="7445" width="13" style="372" customWidth="1"/>
    <col min="7446" max="7446" width="9.5546875" style="372" customWidth="1"/>
    <col min="7447" max="7447" width="11.44140625" style="372" customWidth="1"/>
    <col min="7448" max="7677" width="9.109375" style="372"/>
    <col min="7678" max="7678" width="9.44140625" style="372" customWidth="1"/>
    <col min="7679" max="7679" width="31.44140625" style="372" customWidth="1"/>
    <col min="7680" max="7685" width="0" style="372" hidden="1" customWidth="1"/>
    <col min="7686" max="7686" width="8.6640625" style="372" customWidth="1"/>
    <col min="7687" max="7687" width="8.109375" style="372" customWidth="1"/>
    <col min="7688" max="7688" width="14.44140625" style="372" customWidth="1"/>
    <col min="7689" max="7689" width="13.33203125" style="372" customWidth="1"/>
    <col min="7690" max="7690" width="9.6640625" style="372" customWidth="1"/>
    <col min="7691" max="7691" width="13.5546875" style="372" customWidth="1"/>
    <col min="7692" max="7692" width="10.5546875" style="372" customWidth="1"/>
    <col min="7693" max="7693" width="11.33203125" style="372" customWidth="1"/>
    <col min="7694" max="7694" width="8.6640625" style="372" customWidth="1"/>
    <col min="7695" max="7695" width="9" style="372" customWidth="1"/>
    <col min="7696" max="7696" width="6.6640625" style="372" customWidth="1"/>
    <col min="7697" max="7697" width="11.44140625" style="372" customWidth="1"/>
    <col min="7698" max="7698" width="12.33203125" style="372" customWidth="1"/>
    <col min="7699" max="7699" width="11.33203125" style="372" customWidth="1"/>
    <col min="7700" max="7700" width="12.44140625" style="372" customWidth="1"/>
    <col min="7701" max="7701" width="13" style="372" customWidth="1"/>
    <col min="7702" max="7702" width="9.5546875" style="372" customWidth="1"/>
    <col min="7703" max="7703" width="11.44140625" style="372" customWidth="1"/>
    <col min="7704" max="7933" width="9.109375" style="372"/>
    <col min="7934" max="7934" width="9.44140625" style="372" customWidth="1"/>
    <col min="7935" max="7935" width="31.44140625" style="372" customWidth="1"/>
    <col min="7936" max="7941" width="0" style="372" hidden="1" customWidth="1"/>
    <col min="7942" max="7942" width="8.6640625" style="372" customWidth="1"/>
    <col min="7943" max="7943" width="8.109375" style="372" customWidth="1"/>
    <col min="7944" max="7944" width="14.44140625" style="372" customWidth="1"/>
    <col min="7945" max="7945" width="13.33203125" style="372" customWidth="1"/>
    <col min="7946" max="7946" width="9.6640625" style="372" customWidth="1"/>
    <col min="7947" max="7947" width="13.5546875" style="372" customWidth="1"/>
    <col min="7948" max="7948" width="10.5546875" style="372" customWidth="1"/>
    <col min="7949" max="7949" width="11.33203125" style="372" customWidth="1"/>
    <col min="7950" max="7950" width="8.6640625" style="372" customWidth="1"/>
    <col min="7951" max="7951" width="9" style="372" customWidth="1"/>
    <col min="7952" max="7952" width="6.6640625" style="372" customWidth="1"/>
    <col min="7953" max="7953" width="11.44140625" style="372" customWidth="1"/>
    <col min="7954" max="7954" width="12.33203125" style="372" customWidth="1"/>
    <col min="7955" max="7955" width="11.33203125" style="372" customWidth="1"/>
    <col min="7956" max="7956" width="12.44140625" style="372" customWidth="1"/>
    <col min="7957" max="7957" width="13" style="372" customWidth="1"/>
    <col min="7958" max="7958" width="9.5546875" style="372" customWidth="1"/>
    <col min="7959" max="7959" width="11.44140625" style="372" customWidth="1"/>
    <col min="7960" max="8189" width="9.109375" style="372"/>
    <col min="8190" max="8190" width="9.44140625" style="372" customWidth="1"/>
    <col min="8191" max="8191" width="31.44140625" style="372" customWidth="1"/>
    <col min="8192" max="8197" width="0" style="372" hidden="1" customWidth="1"/>
    <col min="8198" max="8198" width="8.6640625" style="372" customWidth="1"/>
    <col min="8199" max="8199" width="8.109375" style="372" customWidth="1"/>
    <col min="8200" max="8200" width="14.44140625" style="372" customWidth="1"/>
    <col min="8201" max="8201" width="13.33203125" style="372" customWidth="1"/>
    <col min="8202" max="8202" width="9.6640625" style="372" customWidth="1"/>
    <col min="8203" max="8203" width="13.5546875" style="372" customWidth="1"/>
    <col min="8204" max="8204" width="10.5546875" style="372" customWidth="1"/>
    <col min="8205" max="8205" width="11.33203125" style="372" customWidth="1"/>
    <col min="8206" max="8206" width="8.6640625" style="372" customWidth="1"/>
    <col min="8207" max="8207" width="9" style="372" customWidth="1"/>
    <col min="8208" max="8208" width="6.6640625" style="372" customWidth="1"/>
    <col min="8209" max="8209" width="11.44140625" style="372" customWidth="1"/>
    <col min="8210" max="8210" width="12.33203125" style="372" customWidth="1"/>
    <col min="8211" max="8211" width="11.33203125" style="372" customWidth="1"/>
    <col min="8212" max="8212" width="12.44140625" style="372" customWidth="1"/>
    <col min="8213" max="8213" width="13" style="372" customWidth="1"/>
    <col min="8214" max="8214" width="9.5546875" style="372" customWidth="1"/>
    <col min="8215" max="8215" width="11.44140625" style="372" customWidth="1"/>
    <col min="8216" max="8445" width="9.109375" style="372"/>
    <col min="8446" max="8446" width="9.44140625" style="372" customWidth="1"/>
    <col min="8447" max="8447" width="31.44140625" style="372" customWidth="1"/>
    <col min="8448" max="8453" width="0" style="372" hidden="1" customWidth="1"/>
    <col min="8454" max="8454" width="8.6640625" style="372" customWidth="1"/>
    <col min="8455" max="8455" width="8.109375" style="372" customWidth="1"/>
    <col min="8456" max="8456" width="14.44140625" style="372" customWidth="1"/>
    <col min="8457" max="8457" width="13.33203125" style="372" customWidth="1"/>
    <col min="8458" max="8458" width="9.6640625" style="372" customWidth="1"/>
    <col min="8459" max="8459" width="13.5546875" style="372" customWidth="1"/>
    <col min="8460" max="8460" width="10.5546875" style="372" customWidth="1"/>
    <col min="8461" max="8461" width="11.33203125" style="372" customWidth="1"/>
    <col min="8462" max="8462" width="8.6640625" style="372" customWidth="1"/>
    <col min="8463" max="8463" width="9" style="372" customWidth="1"/>
    <col min="8464" max="8464" width="6.6640625" style="372" customWidth="1"/>
    <col min="8465" max="8465" width="11.44140625" style="372" customWidth="1"/>
    <col min="8466" max="8466" width="12.33203125" style="372" customWidth="1"/>
    <col min="8467" max="8467" width="11.33203125" style="372" customWidth="1"/>
    <col min="8468" max="8468" width="12.44140625" style="372" customWidth="1"/>
    <col min="8469" max="8469" width="13" style="372" customWidth="1"/>
    <col min="8470" max="8470" width="9.5546875" style="372" customWidth="1"/>
    <col min="8471" max="8471" width="11.44140625" style="372" customWidth="1"/>
    <col min="8472" max="8701" width="9.109375" style="372"/>
    <col min="8702" max="8702" width="9.44140625" style="372" customWidth="1"/>
    <col min="8703" max="8703" width="31.44140625" style="372" customWidth="1"/>
    <col min="8704" max="8709" width="0" style="372" hidden="1" customWidth="1"/>
    <col min="8710" max="8710" width="8.6640625" style="372" customWidth="1"/>
    <col min="8711" max="8711" width="8.109375" style="372" customWidth="1"/>
    <col min="8712" max="8712" width="14.44140625" style="372" customWidth="1"/>
    <col min="8713" max="8713" width="13.33203125" style="372" customWidth="1"/>
    <col min="8714" max="8714" width="9.6640625" style="372" customWidth="1"/>
    <col min="8715" max="8715" width="13.5546875" style="372" customWidth="1"/>
    <col min="8716" max="8716" width="10.5546875" style="372" customWidth="1"/>
    <col min="8717" max="8717" width="11.33203125" style="372" customWidth="1"/>
    <col min="8718" max="8718" width="8.6640625" style="372" customWidth="1"/>
    <col min="8719" max="8719" width="9" style="372" customWidth="1"/>
    <col min="8720" max="8720" width="6.6640625" style="372" customWidth="1"/>
    <col min="8721" max="8721" width="11.44140625" style="372" customWidth="1"/>
    <col min="8722" max="8722" width="12.33203125" style="372" customWidth="1"/>
    <col min="8723" max="8723" width="11.33203125" style="372" customWidth="1"/>
    <col min="8724" max="8724" width="12.44140625" style="372" customWidth="1"/>
    <col min="8725" max="8725" width="13" style="372" customWidth="1"/>
    <col min="8726" max="8726" width="9.5546875" style="372" customWidth="1"/>
    <col min="8727" max="8727" width="11.44140625" style="372" customWidth="1"/>
    <col min="8728" max="8957" width="9.109375" style="372"/>
    <col min="8958" max="8958" width="9.44140625" style="372" customWidth="1"/>
    <col min="8959" max="8959" width="31.44140625" style="372" customWidth="1"/>
    <col min="8960" max="8965" width="0" style="372" hidden="1" customWidth="1"/>
    <col min="8966" max="8966" width="8.6640625" style="372" customWidth="1"/>
    <col min="8967" max="8967" width="8.109375" style="372" customWidth="1"/>
    <col min="8968" max="8968" width="14.44140625" style="372" customWidth="1"/>
    <col min="8969" max="8969" width="13.33203125" style="372" customWidth="1"/>
    <col min="8970" max="8970" width="9.6640625" style="372" customWidth="1"/>
    <col min="8971" max="8971" width="13.5546875" style="372" customWidth="1"/>
    <col min="8972" max="8972" width="10.5546875" style="372" customWidth="1"/>
    <col min="8973" max="8973" width="11.33203125" style="372" customWidth="1"/>
    <col min="8974" max="8974" width="8.6640625" style="372" customWidth="1"/>
    <col min="8975" max="8975" width="9" style="372" customWidth="1"/>
    <col min="8976" max="8976" width="6.6640625" style="372" customWidth="1"/>
    <col min="8977" max="8977" width="11.44140625" style="372" customWidth="1"/>
    <col min="8978" max="8978" width="12.33203125" style="372" customWidth="1"/>
    <col min="8979" max="8979" width="11.33203125" style="372" customWidth="1"/>
    <col min="8980" max="8980" width="12.44140625" style="372" customWidth="1"/>
    <col min="8981" max="8981" width="13" style="372" customWidth="1"/>
    <col min="8982" max="8982" width="9.5546875" style="372" customWidth="1"/>
    <col min="8983" max="8983" width="11.44140625" style="372" customWidth="1"/>
    <col min="8984" max="9213" width="9.109375" style="372"/>
    <col min="9214" max="9214" width="9.44140625" style="372" customWidth="1"/>
    <col min="9215" max="9215" width="31.44140625" style="372" customWidth="1"/>
    <col min="9216" max="9221" width="0" style="372" hidden="1" customWidth="1"/>
    <col min="9222" max="9222" width="8.6640625" style="372" customWidth="1"/>
    <col min="9223" max="9223" width="8.109375" style="372" customWidth="1"/>
    <col min="9224" max="9224" width="14.44140625" style="372" customWidth="1"/>
    <col min="9225" max="9225" width="13.33203125" style="372" customWidth="1"/>
    <col min="9226" max="9226" width="9.6640625" style="372" customWidth="1"/>
    <col min="9227" max="9227" width="13.5546875" style="372" customWidth="1"/>
    <col min="9228" max="9228" width="10.5546875" style="372" customWidth="1"/>
    <col min="9229" max="9229" width="11.33203125" style="372" customWidth="1"/>
    <col min="9230" max="9230" width="8.6640625" style="372" customWidth="1"/>
    <col min="9231" max="9231" width="9" style="372" customWidth="1"/>
    <col min="9232" max="9232" width="6.6640625" style="372" customWidth="1"/>
    <col min="9233" max="9233" width="11.44140625" style="372" customWidth="1"/>
    <col min="9234" max="9234" width="12.33203125" style="372" customWidth="1"/>
    <col min="9235" max="9235" width="11.33203125" style="372" customWidth="1"/>
    <col min="9236" max="9236" width="12.44140625" style="372" customWidth="1"/>
    <col min="9237" max="9237" width="13" style="372" customWidth="1"/>
    <col min="9238" max="9238" width="9.5546875" style="372" customWidth="1"/>
    <col min="9239" max="9239" width="11.44140625" style="372" customWidth="1"/>
    <col min="9240" max="9469" width="9.109375" style="372"/>
    <col min="9470" max="9470" width="9.44140625" style="372" customWidth="1"/>
    <col min="9471" max="9471" width="31.44140625" style="372" customWidth="1"/>
    <col min="9472" max="9477" width="0" style="372" hidden="1" customWidth="1"/>
    <col min="9478" max="9478" width="8.6640625" style="372" customWidth="1"/>
    <col min="9479" max="9479" width="8.109375" style="372" customWidth="1"/>
    <col min="9480" max="9480" width="14.44140625" style="372" customWidth="1"/>
    <col min="9481" max="9481" width="13.33203125" style="372" customWidth="1"/>
    <col min="9482" max="9482" width="9.6640625" style="372" customWidth="1"/>
    <col min="9483" max="9483" width="13.5546875" style="372" customWidth="1"/>
    <col min="9484" max="9484" width="10.5546875" style="372" customWidth="1"/>
    <col min="9485" max="9485" width="11.33203125" style="372" customWidth="1"/>
    <col min="9486" max="9486" width="8.6640625" style="372" customWidth="1"/>
    <col min="9487" max="9487" width="9" style="372" customWidth="1"/>
    <col min="9488" max="9488" width="6.6640625" style="372" customWidth="1"/>
    <col min="9489" max="9489" width="11.44140625" style="372" customWidth="1"/>
    <col min="9490" max="9490" width="12.33203125" style="372" customWidth="1"/>
    <col min="9491" max="9491" width="11.33203125" style="372" customWidth="1"/>
    <col min="9492" max="9492" width="12.44140625" style="372" customWidth="1"/>
    <col min="9493" max="9493" width="13" style="372" customWidth="1"/>
    <col min="9494" max="9494" width="9.5546875" style="372" customWidth="1"/>
    <col min="9495" max="9495" width="11.44140625" style="372" customWidth="1"/>
    <col min="9496" max="9725" width="9.109375" style="372"/>
    <col min="9726" max="9726" width="9.44140625" style="372" customWidth="1"/>
    <col min="9727" max="9727" width="31.44140625" style="372" customWidth="1"/>
    <col min="9728" max="9733" width="0" style="372" hidden="1" customWidth="1"/>
    <col min="9734" max="9734" width="8.6640625" style="372" customWidth="1"/>
    <col min="9735" max="9735" width="8.109375" style="372" customWidth="1"/>
    <col min="9736" max="9736" width="14.44140625" style="372" customWidth="1"/>
    <col min="9737" max="9737" width="13.33203125" style="372" customWidth="1"/>
    <col min="9738" max="9738" width="9.6640625" style="372" customWidth="1"/>
    <col min="9739" max="9739" width="13.5546875" style="372" customWidth="1"/>
    <col min="9740" max="9740" width="10.5546875" style="372" customWidth="1"/>
    <col min="9741" max="9741" width="11.33203125" style="372" customWidth="1"/>
    <col min="9742" max="9742" width="8.6640625" style="372" customWidth="1"/>
    <col min="9743" max="9743" width="9" style="372" customWidth="1"/>
    <col min="9744" max="9744" width="6.6640625" style="372" customWidth="1"/>
    <col min="9745" max="9745" width="11.44140625" style="372" customWidth="1"/>
    <col min="9746" max="9746" width="12.33203125" style="372" customWidth="1"/>
    <col min="9747" max="9747" width="11.33203125" style="372" customWidth="1"/>
    <col min="9748" max="9748" width="12.44140625" style="372" customWidth="1"/>
    <col min="9749" max="9749" width="13" style="372" customWidth="1"/>
    <col min="9750" max="9750" width="9.5546875" style="372" customWidth="1"/>
    <col min="9751" max="9751" width="11.44140625" style="372" customWidth="1"/>
    <col min="9752" max="9981" width="9.109375" style="372"/>
    <col min="9982" max="9982" width="9.44140625" style="372" customWidth="1"/>
    <col min="9983" max="9983" width="31.44140625" style="372" customWidth="1"/>
    <col min="9984" max="9989" width="0" style="372" hidden="1" customWidth="1"/>
    <col min="9990" max="9990" width="8.6640625" style="372" customWidth="1"/>
    <col min="9991" max="9991" width="8.109375" style="372" customWidth="1"/>
    <col min="9992" max="9992" width="14.44140625" style="372" customWidth="1"/>
    <col min="9993" max="9993" width="13.33203125" style="372" customWidth="1"/>
    <col min="9994" max="9994" width="9.6640625" style="372" customWidth="1"/>
    <col min="9995" max="9995" width="13.5546875" style="372" customWidth="1"/>
    <col min="9996" max="9996" width="10.5546875" style="372" customWidth="1"/>
    <col min="9997" max="9997" width="11.33203125" style="372" customWidth="1"/>
    <col min="9998" max="9998" width="8.6640625" style="372" customWidth="1"/>
    <col min="9999" max="9999" width="9" style="372" customWidth="1"/>
    <col min="10000" max="10000" width="6.6640625" style="372" customWidth="1"/>
    <col min="10001" max="10001" width="11.44140625" style="372" customWidth="1"/>
    <col min="10002" max="10002" width="12.33203125" style="372" customWidth="1"/>
    <col min="10003" max="10003" width="11.33203125" style="372" customWidth="1"/>
    <col min="10004" max="10004" width="12.44140625" style="372" customWidth="1"/>
    <col min="10005" max="10005" width="13" style="372" customWidth="1"/>
    <col min="10006" max="10006" width="9.5546875" style="372" customWidth="1"/>
    <col min="10007" max="10007" width="11.44140625" style="372" customWidth="1"/>
    <col min="10008" max="10237" width="9.109375" style="372"/>
    <col min="10238" max="10238" width="9.44140625" style="372" customWidth="1"/>
    <col min="10239" max="10239" width="31.44140625" style="372" customWidth="1"/>
    <col min="10240" max="10245" width="0" style="372" hidden="1" customWidth="1"/>
    <col min="10246" max="10246" width="8.6640625" style="372" customWidth="1"/>
    <col min="10247" max="10247" width="8.109375" style="372" customWidth="1"/>
    <col min="10248" max="10248" width="14.44140625" style="372" customWidth="1"/>
    <col min="10249" max="10249" width="13.33203125" style="372" customWidth="1"/>
    <col min="10250" max="10250" width="9.6640625" style="372" customWidth="1"/>
    <col min="10251" max="10251" width="13.5546875" style="372" customWidth="1"/>
    <col min="10252" max="10252" width="10.5546875" style="372" customWidth="1"/>
    <col min="10253" max="10253" width="11.33203125" style="372" customWidth="1"/>
    <col min="10254" max="10254" width="8.6640625" style="372" customWidth="1"/>
    <col min="10255" max="10255" width="9" style="372" customWidth="1"/>
    <col min="10256" max="10256" width="6.6640625" style="372" customWidth="1"/>
    <col min="10257" max="10257" width="11.44140625" style="372" customWidth="1"/>
    <col min="10258" max="10258" width="12.33203125" style="372" customWidth="1"/>
    <col min="10259" max="10259" width="11.33203125" style="372" customWidth="1"/>
    <col min="10260" max="10260" width="12.44140625" style="372" customWidth="1"/>
    <col min="10261" max="10261" width="13" style="372" customWidth="1"/>
    <col min="10262" max="10262" width="9.5546875" style="372" customWidth="1"/>
    <col min="10263" max="10263" width="11.44140625" style="372" customWidth="1"/>
    <col min="10264" max="10493" width="9.109375" style="372"/>
    <col min="10494" max="10494" width="9.44140625" style="372" customWidth="1"/>
    <col min="10495" max="10495" width="31.44140625" style="372" customWidth="1"/>
    <col min="10496" max="10501" width="0" style="372" hidden="1" customWidth="1"/>
    <col min="10502" max="10502" width="8.6640625" style="372" customWidth="1"/>
    <col min="10503" max="10503" width="8.109375" style="372" customWidth="1"/>
    <col min="10504" max="10504" width="14.44140625" style="372" customWidth="1"/>
    <col min="10505" max="10505" width="13.33203125" style="372" customWidth="1"/>
    <col min="10506" max="10506" width="9.6640625" style="372" customWidth="1"/>
    <col min="10507" max="10507" width="13.5546875" style="372" customWidth="1"/>
    <col min="10508" max="10508" width="10.5546875" style="372" customWidth="1"/>
    <col min="10509" max="10509" width="11.33203125" style="372" customWidth="1"/>
    <col min="10510" max="10510" width="8.6640625" style="372" customWidth="1"/>
    <col min="10511" max="10511" width="9" style="372" customWidth="1"/>
    <col min="10512" max="10512" width="6.6640625" style="372" customWidth="1"/>
    <col min="10513" max="10513" width="11.44140625" style="372" customWidth="1"/>
    <col min="10514" max="10514" width="12.33203125" style="372" customWidth="1"/>
    <col min="10515" max="10515" width="11.33203125" style="372" customWidth="1"/>
    <col min="10516" max="10516" width="12.44140625" style="372" customWidth="1"/>
    <col min="10517" max="10517" width="13" style="372" customWidth="1"/>
    <col min="10518" max="10518" width="9.5546875" style="372" customWidth="1"/>
    <col min="10519" max="10519" width="11.44140625" style="372" customWidth="1"/>
    <col min="10520" max="10749" width="9.109375" style="372"/>
    <col min="10750" max="10750" width="9.44140625" style="372" customWidth="1"/>
    <col min="10751" max="10751" width="31.44140625" style="372" customWidth="1"/>
    <col min="10752" max="10757" width="0" style="372" hidden="1" customWidth="1"/>
    <col min="10758" max="10758" width="8.6640625" style="372" customWidth="1"/>
    <col min="10759" max="10759" width="8.109375" style="372" customWidth="1"/>
    <col min="10760" max="10760" width="14.44140625" style="372" customWidth="1"/>
    <col min="10761" max="10761" width="13.33203125" style="372" customWidth="1"/>
    <col min="10762" max="10762" width="9.6640625" style="372" customWidth="1"/>
    <col min="10763" max="10763" width="13.5546875" style="372" customWidth="1"/>
    <col min="10764" max="10764" width="10.5546875" style="372" customWidth="1"/>
    <col min="10765" max="10765" width="11.33203125" style="372" customWidth="1"/>
    <col min="10766" max="10766" width="8.6640625" style="372" customWidth="1"/>
    <col min="10767" max="10767" width="9" style="372" customWidth="1"/>
    <col min="10768" max="10768" width="6.6640625" style="372" customWidth="1"/>
    <col min="10769" max="10769" width="11.44140625" style="372" customWidth="1"/>
    <col min="10770" max="10770" width="12.33203125" style="372" customWidth="1"/>
    <col min="10771" max="10771" width="11.33203125" style="372" customWidth="1"/>
    <col min="10772" max="10772" width="12.44140625" style="372" customWidth="1"/>
    <col min="10773" max="10773" width="13" style="372" customWidth="1"/>
    <col min="10774" max="10774" width="9.5546875" style="372" customWidth="1"/>
    <col min="10775" max="10775" width="11.44140625" style="372" customWidth="1"/>
    <col min="10776" max="11005" width="9.109375" style="372"/>
    <col min="11006" max="11006" width="9.44140625" style="372" customWidth="1"/>
    <col min="11007" max="11007" width="31.44140625" style="372" customWidth="1"/>
    <col min="11008" max="11013" width="0" style="372" hidden="1" customWidth="1"/>
    <col min="11014" max="11014" width="8.6640625" style="372" customWidth="1"/>
    <col min="11015" max="11015" width="8.109375" style="372" customWidth="1"/>
    <col min="11016" max="11016" width="14.44140625" style="372" customWidth="1"/>
    <col min="11017" max="11017" width="13.33203125" style="372" customWidth="1"/>
    <col min="11018" max="11018" width="9.6640625" style="372" customWidth="1"/>
    <col min="11019" max="11019" width="13.5546875" style="372" customWidth="1"/>
    <col min="11020" max="11020" width="10.5546875" style="372" customWidth="1"/>
    <col min="11021" max="11021" width="11.33203125" style="372" customWidth="1"/>
    <col min="11022" max="11022" width="8.6640625" style="372" customWidth="1"/>
    <col min="11023" max="11023" width="9" style="372" customWidth="1"/>
    <col min="11024" max="11024" width="6.6640625" style="372" customWidth="1"/>
    <col min="11025" max="11025" width="11.44140625" style="372" customWidth="1"/>
    <col min="11026" max="11026" width="12.33203125" style="372" customWidth="1"/>
    <col min="11027" max="11027" width="11.33203125" style="372" customWidth="1"/>
    <col min="11028" max="11028" width="12.44140625" style="372" customWidth="1"/>
    <col min="11029" max="11029" width="13" style="372" customWidth="1"/>
    <col min="11030" max="11030" width="9.5546875" style="372" customWidth="1"/>
    <col min="11031" max="11031" width="11.44140625" style="372" customWidth="1"/>
    <col min="11032" max="11261" width="9.109375" style="372"/>
    <col min="11262" max="11262" width="9.44140625" style="372" customWidth="1"/>
    <col min="11263" max="11263" width="31.44140625" style="372" customWidth="1"/>
    <col min="11264" max="11269" width="0" style="372" hidden="1" customWidth="1"/>
    <col min="11270" max="11270" width="8.6640625" style="372" customWidth="1"/>
    <col min="11271" max="11271" width="8.109375" style="372" customWidth="1"/>
    <col min="11272" max="11272" width="14.44140625" style="372" customWidth="1"/>
    <col min="11273" max="11273" width="13.33203125" style="372" customWidth="1"/>
    <col min="11274" max="11274" width="9.6640625" style="372" customWidth="1"/>
    <col min="11275" max="11275" width="13.5546875" style="372" customWidth="1"/>
    <col min="11276" max="11276" width="10.5546875" style="372" customWidth="1"/>
    <col min="11277" max="11277" width="11.33203125" style="372" customWidth="1"/>
    <col min="11278" max="11278" width="8.6640625" style="372" customWidth="1"/>
    <col min="11279" max="11279" width="9" style="372" customWidth="1"/>
    <col min="11280" max="11280" width="6.6640625" style="372" customWidth="1"/>
    <col min="11281" max="11281" width="11.44140625" style="372" customWidth="1"/>
    <col min="11282" max="11282" width="12.33203125" style="372" customWidth="1"/>
    <col min="11283" max="11283" width="11.33203125" style="372" customWidth="1"/>
    <col min="11284" max="11284" width="12.44140625" style="372" customWidth="1"/>
    <col min="11285" max="11285" width="13" style="372" customWidth="1"/>
    <col min="11286" max="11286" width="9.5546875" style="372" customWidth="1"/>
    <col min="11287" max="11287" width="11.44140625" style="372" customWidth="1"/>
    <col min="11288" max="11517" width="9.109375" style="372"/>
    <col min="11518" max="11518" width="9.44140625" style="372" customWidth="1"/>
    <col min="11519" max="11519" width="31.44140625" style="372" customWidth="1"/>
    <col min="11520" max="11525" width="0" style="372" hidden="1" customWidth="1"/>
    <col min="11526" max="11526" width="8.6640625" style="372" customWidth="1"/>
    <col min="11527" max="11527" width="8.109375" style="372" customWidth="1"/>
    <col min="11528" max="11528" width="14.44140625" style="372" customWidth="1"/>
    <col min="11529" max="11529" width="13.33203125" style="372" customWidth="1"/>
    <col min="11530" max="11530" width="9.6640625" style="372" customWidth="1"/>
    <col min="11531" max="11531" width="13.5546875" style="372" customWidth="1"/>
    <col min="11532" max="11532" width="10.5546875" style="372" customWidth="1"/>
    <col min="11533" max="11533" width="11.33203125" style="372" customWidth="1"/>
    <col min="11534" max="11534" width="8.6640625" style="372" customWidth="1"/>
    <col min="11535" max="11535" width="9" style="372" customWidth="1"/>
    <col min="11536" max="11536" width="6.6640625" style="372" customWidth="1"/>
    <col min="11537" max="11537" width="11.44140625" style="372" customWidth="1"/>
    <col min="11538" max="11538" width="12.33203125" style="372" customWidth="1"/>
    <col min="11539" max="11539" width="11.33203125" style="372" customWidth="1"/>
    <col min="11540" max="11540" width="12.44140625" style="372" customWidth="1"/>
    <col min="11541" max="11541" width="13" style="372" customWidth="1"/>
    <col min="11542" max="11542" width="9.5546875" style="372" customWidth="1"/>
    <col min="11543" max="11543" width="11.44140625" style="372" customWidth="1"/>
    <col min="11544" max="11773" width="9.109375" style="372"/>
    <col min="11774" max="11774" width="9.44140625" style="372" customWidth="1"/>
    <col min="11775" max="11775" width="31.44140625" style="372" customWidth="1"/>
    <col min="11776" max="11781" width="0" style="372" hidden="1" customWidth="1"/>
    <col min="11782" max="11782" width="8.6640625" style="372" customWidth="1"/>
    <col min="11783" max="11783" width="8.109375" style="372" customWidth="1"/>
    <col min="11784" max="11784" width="14.44140625" style="372" customWidth="1"/>
    <col min="11785" max="11785" width="13.33203125" style="372" customWidth="1"/>
    <col min="11786" max="11786" width="9.6640625" style="372" customWidth="1"/>
    <col min="11787" max="11787" width="13.5546875" style="372" customWidth="1"/>
    <col min="11788" max="11788" width="10.5546875" style="372" customWidth="1"/>
    <col min="11789" max="11789" width="11.33203125" style="372" customWidth="1"/>
    <col min="11790" max="11790" width="8.6640625" style="372" customWidth="1"/>
    <col min="11791" max="11791" width="9" style="372" customWidth="1"/>
    <col min="11792" max="11792" width="6.6640625" style="372" customWidth="1"/>
    <col min="11793" max="11793" width="11.44140625" style="372" customWidth="1"/>
    <col min="11794" max="11794" width="12.33203125" style="372" customWidth="1"/>
    <col min="11795" max="11795" width="11.33203125" style="372" customWidth="1"/>
    <col min="11796" max="11796" width="12.44140625" style="372" customWidth="1"/>
    <col min="11797" max="11797" width="13" style="372" customWidth="1"/>
    <col min="11798" max="11798" width="9.5546875" style="372" customWidth="1"/>
    <col min="11799" max="11799" width="11.44140625" style="372" customWidth="1"/>
    <col min="11800" max="12029" width="9.109375" style="372"/>
    <col min="12030" max="12030" width="9.44140625" style="372" customWidth="1"/>
    <col min="12031" max="12031" width="31.44140625" style="372" customWidth="1"/>
    <col min="12032" max="12037" width="0" style="372" hidden="1" customWidth="1"/>
    <col min="12038" max="12038" width="8.6640625" style="372" customWidth="1"/>
    <col min="12039" max="12039" width="8.109375" style="372" customWidth="1"/>
    <col min="12040" max="12040" width="14.44140625" style="372" customWidth="1"/>
    <col min="12041" max="12041" width="13.33203125" style="372" customWidth="1"/>
    <col min="12042" max="12042" width="9.6640625" style="372" customWidth="1"/>
    <col min="12043" max="12043" width="13.5546875" style="372" customWidth="1"/>
    <col min="12044" max="12044" width="10.5546875" style="372" customWidth="1"/>
    <col min="12045" max="12045" width="11.33203125" style="372" customWidth="1"/>
    <col min="12046" max="12046" width="8.6640625" style="372" customWidth="1"/>
    <col min="12047" max="12047" width="9" style="372" customWidth="1"/>
    <col min="12048" max="12048" width="6.6640625" style="372" customWidth="1"/>
    <col min="12049" max="12049" width="11.44140625" style="372" customWidth="1"/>
    <col min="12050" max="12050" width="12.33203125" style="372" customWidth="1"/>
    <col min="12051" max="12051" width="11.33203125" style="372" customWidth="1"/>
    <col min="12052" max="12052" width="12.44140625" style="372" customWidth="1"/>
    <col min="12053" max="12053" width="13" style="372" customWidth="1"/>
    <col min="12054" max="12054" width="9.5546875" style="372" customWidth="1"/>
    <col min="12055" max="12055" width="11.44140625" style="372" customWidth="1"/>
    <col min="12056" max="12285" width="9.109375" style="372"/>
    <col min="12286" max="12286" width="9.44140625" style="372" customWidth="1"/>
    <col min="12287" max="12287" width="31.44140625" style="372" customWidth="1"/>
    <col min="12288" max="12293" width="0" style="372" hidden="1" customWidth="1"/>
    <col min="12294" max="12294" width="8.6640625" style="372" customWidth="1"/>
    <col min="12295" max="12295" width="8.109375" style="372" customWidth="1"/>
    <col min="12296" max="12296" width="14.44140625" style="372" customWidth="1"/>
    <col min="12297" max="12297" width="13.33203125" style="372" customWidth="1"/>
    <col min="12298" max="12298" width="9.6640625" style="372" customWidth="1"/>
    <col min="12299" max="12299" width="13.5546875" style="372" customWidth="1"/>
    <col min="12300" max="12300" width="10.5546875" style="372" customWidth="1"/>
    <col min="12301" max="12301" width="11.33203125" style="372" customWidth="1"/>
    <col min="12302" max="12302" width="8.6640625" style="372" customWidth="1"/>
    <col min="12303" max="12303" width="9" style="372" customWidth="1"/>
    <col min="12304" max="12304" width="6.6640625" style="372" customWidth="1"/>
    <col min="12305" max="12305" width="11.44140625" style="372" customWidth="1"/>
    <col min="12306" max="12306" width="12.33203125" style="372" customWidth="1"/>
    <col min="12307" max="12307" width="11.33203125" style="372" customWidth="1"/>
    <col min="12308" max="12308" width="12.44140625" style="372" customWidth="1"/>
    <col min="12309" max="12309" width="13" style="372" customWidth="1"/>
    <col min="12310" max="12310" width="9.5546875" style="372" customWidth="1"/>
    <col min="12311" max="12311" width="11.44140625" style="372" customWidth="1"/>
    <col min="12312" max="12541" width="9.109375" style="372"/>
    <col min="12542" max="12542" width="9.44140625" style="372" customWidth="1"/>
    <col min="12543" max="12543" width="31.44140625" style="372" customWidth="1"/>
    <col min="12544" max="12549" width="0" style="372" hidden="1" customWidth="1"/>
    <col min="12550" max="12550" width="8.6640625" style="372" customWidth="1"/>
    <col min="12551" max="12551" width="8.109375" style="372" customWidth="1"/>
    <col min="12552" max="12552" width="14.44140625" style="372" customWidth="1"/>
    <col min="12553" max="12553" width="13.33203125" style="372" customWidth="1"/>
    <col min="12554" max="12554" width="9.6640625" style="372" customWidth="1"/>
    <col min="12555" max="12555" width="13.5546875" style="372" customWidth="1"/>
    <col min="12556" max="12556" width="10.5546875" style="372" customWidth="1"/>
    <col min="12557" max="12557" width="11.33203125" style="372" customWidth="1"/>
    <col min="12558" max="12558" width="8.6640625" style="372" customWidth="1"/>
    <col min="12559" max="12559" width="9" style="372" customWidth="1"/>
    <col min="12560" max="12560" width="6.6640625" style="372" customWidth="1"/>
    <col min="12561" max="12561" width="11.44140625" style="372" customWidth="1"/>
    <col min="12562" max="12562" width="12.33203125" style="372" customWidth="1"/>
    <col min="12563" max="12563" width="11.33203125" style="372" customWidth="1"/>
    <col min="12564" max="12564" width="12.44140625" style="372" customWidth="1"/>
    <col min="12565" max="12565" width="13" style="372" customWidth="1"/>
    <col min="12566" max="12566" width="9.5546875" style="372" customWidth="1"/>
    <col min="12567" max="12567" width="11.44140625" style="372" customWidth="1"/>
    <col min="12568" max="12797" width="9.109375" style="372"/>
    <col min="12798" max="12798" width="9.44140625" style="372" customWidth="1"/>
    <col min="12799" max="12799" width="31.44140625" style="372" customWidth="1"/>
    <col min="12800" max="12805" width="0" style="372" hidden="1" customWidth="1"/>
    <col min="12806" max="12806" width="8.6640625" style="372" customWidth="1"/>
    <col min="12807" max="12807" width="8.109375" style="372" customWidth="1"/>
    <col min="12808" max="12808" width="14.44140625" style="372" customWidth="1"/>
    <col min="12809" max="12809" width="13.33203125" style="372" customWidth="1"/>
    <col min="12810" max="12810" width="9.6640625" style="372" customWidth="1"/>
    <col min="12811" max="12811" width="13.5546875" style="372" customWidth="1"/>
    <col min="12812" max="12812" width="10.5546875" style="372" customWidth="1"/>
    <col min="12813" max="12813" width="11.33203125" style="372" customWidth="1"/>
    <col min="12814" max="12814" width="8.6640625" style="372" customWidth="1"/>
    <col min="12815" max="12815" width="9" style="372" customWidth="1"/>
    <col min="12816" max="12816" width="6.6640625" style="372" customWidth="1"/>
    <col min="12817" max="12817" width="11.44140625" style="372" customWidth="1"/>
    <col min="12818" max="12818" width="12.33203125" style="372" customWidth="1"/>
    <col min="12819" max="12819" width="11.33203125" style="372" customWidth="1"/>
    <col min="12820" max="12820" width="12.44140625" style="372" customWidth="1"/>
    <col min="12821" max="12821" width="13" style="372" customWidth="1"/>
    <col min="12822" max="12822" width="9.5546875" style="372" customWidth="1"/>
    <col min="12823" max="12823" width="11.44140625" style="372" customWidth="1"/>
    <col min="12824" max="13053" width="9.109375" style="372"/>
    <col min="13054" max="13054" width="9.44140625" style="372" customWidth="1"/>
    <col min="13055" max="13055" width="31.44140625" style="372" customWidth="1"/>
    <col min="13056" max="13061" width="0" style="372" hidden="1" customWidth="1"/>
    <col min="13062" max="13062" width="8.6640625" style="372" customWidth="1"/>
    <col min="13063" max="13063" width="8.109375" style="372" customWidth="1"/>
    <col min="13064" max="13064" width="14.44140625" style="372" customWidth="1"/>
    <col min="13065" max="13065" width="13.33203125" style="372" customWidth="1"/>
    <col min="13066" max="13066" width="9.6640625" style="372" customWidth="1"/>
    <col min="13067" max="13067" width="13.5546875" style="372" customWidth="1"/>
    <col min="13068" max="13068" width="10.5546875" style="372" customWidth="1"/>
    <col min="13069" max="13069" width="11.33203125" style="372" customWidth="1"/>
    <col min="13070" max="13070" width="8.6640625" style="372" customWidth="1"/>
    <col min="13071" max="13071" width="9" style="372" customWidth="1"/>
    <col min="13072" max="13072" width="6.6640625" style="372" customWidth="1"/>
    <col min="13073" max="13073" width="11.44140625" style="372" customWidth="1"/>
    <col min="13074" max="13074" width="12.33203125" style="372" customWidth="1"/>
    <col min="13075" max="13075" width="11.33203125" style="372" customWidth="1"/>
    <col min="13076" max="13076" width="12.44140625" style="372" customWidth="1"/>
    <col min="13077" max="13077" width="13" style="372" customWidth="1"/>
    <col min="13078" max="13078" width="9.5546875" style="372" customWidth="1"/>
    <col min="13079" max="13079" width="11.44140625" style="372" customWidth="1"/>
    <col min="13080" max="13309" width="9.109375" style="372"/>
    <col min="13310" max="13310" width="9.44140625" style="372" customWidth="1"/>
    <col min="13311" max="13311" width="31.44140625" style="372" customWidth="1"/>
    <col min="13312" max="13317" width="0" style="372" hidden="1" customWidth="1"/>
    <col min="13318" max="13318" width="8.6640625" style="372" customWidth="1"/>
    <col min="13319" max="13319" width="8.109375" style="372" customWidth="1"/>
    <col min="13320" max="13320" width="14.44140625" style="372" customWidth="1"/>
    <col min="13321" max="13321" width="13.33203125" style="372" customWidth="1"/>
    <col min="13322" max="13322" width="9.6640625" style="372" customWidth="1"/>
    <col min="13323" max="13323" width="13.5546875" style="372" customWidth="1"/>
    <col min="13324" max="13324" width="10.5546875" style="372" customWidth="1"/>
    <col min="13325" max="13325" width="11.33203125" style="372" customWidth="1"/>
    <col min="13326" max="13326" width="8.6640625" style="372" customWidth="1"/>
    <col min="13327" max="13327" width="9" style="372" customWidth="1"/>
    <col min="13328" max="13328" width="6.6640625" style="372" customWidth="1"/>
    <col min="13329" max="13329" width="11.44140625" style="372" customWidth="1"/>
    <col min="13330" max="13330" width="12.33203125" style="372" customWidth="1"/>
    <col min="13331" max="13331" width="11.33203125" style="372" customWidth="1"/>
    <col min="13332" max="13332" width="12.44140625" style="372" customWidth="1"/>
    <col min="13333" max="13333" width="13" style="372" customWidth="1"/>
    <col min="13334" max="13334" width="9.5546875" style="372" customWidth="1"/>
    <col min="13335" max="13335" width="11.44140625" style="372" customWidth="1"/>
    <col min="13336" max="13565" width="9.109375" style="372"/>
    <col min="13566" max="13566" width="9.44140625" style="372" customWidth="1"/>
    <col min="13567" max="13567" width="31.44140625" style="372" customWidth="1"/>
    <col min="13568" max="13573" width="0" style="372" hidden="1" customWidth="1"/>
    <col min="13574" max="13574" width="8.6640625" style="372" customWidth="1"/>
    <col min="13575" max="13575" width="8.109375" style="372" customWidth="1"/>
    <col min="13576" max="13576" width="14.44140625" style="372" customWidth="1"/>
    <col min="13577" max="13577" width="13.33203125" style="372" customWidth="1"/>
    <col min="13578" max="13578" width="9.6640625" style="372" customWidth="1"/>
    <col min="13579" max="13579" width="13.5546875" style="372" customWidth="1"/>
    <col min="13580" max="13580" width="10.5546875" style="372" customWidth="1"/>
    <col min="13581" max="13581" width="11.33203125" style="372" customWidth="1"/>
    <col min="13582" max="13582" width="8.6640625" style="372" customWidth="1"/>
    <col min="13583" max="13583" width="9" style="372" customWidth="1"/>
    <col min="13584" max="13584" width="6.6640625" style="372" customWidth="1"/>
    <col min="13585" max="13585" width="11.44140625" style="372" customWidth="1"/>
    <col min="13586" max="13586" width="12.33203125" style="372" customWidth="1"/>
    <col min="13587" max="13587" width="11.33203125" style="372" customWidth="1"/>
    <col min="13588" max="13588" width="12.44140625" style="372" customWidth="1"/>
    <col min="13589" max="13589" width="13" style="372" customWidth="1"/>
    <col min="13590" max="13590" width="9.5546875" style="372" customWidth="1"/>
    <col min="13591" max="13591" width="11.44140625" style="372" customWidth="1"/>
    <col min="13592" max="13821" width="9.109375" style="372"/>
    <col min="13822" max="13822" width="9.44140625" style="372" customWidth="1"/>
    <col min="13823" max="13823" width="31.44140625" style="372" customWidth="1"/>
    <col min="13824" max="13829" width="0" style="372" hidden="1" customWidth="1"/>
    <col min="13830" max="13830" width="8.6640625" style="372" customWidth="1"/>
    <col min="13831" max="13831" width="8.109375" style="372" customWidth="1"/>
    <col min="13832" max="13832" width="14.44140625" style="372" customWidth="1"/>
    <col min="13833" max="13833" width="13.33203125" style="372" customWidth="1"/>
    <col min="13834" max="13834" width="9.6640625" style="372" customWidth="1"/>
    <col min="13835" max="13835" width="13.5546875" style="372" customWidth="1"/>
    <col min="13836" max="13836" width="10.5546875" style="372" customWidth="1"/>
    <col min="13837" max="13837" width="11.33203125" style="372" customWidth="1"/>
    <col min="13838" max="13838" width="8.6640625" style="372" customWidth="1"/>
    <col min="13839" max="13839" width="9" style="372" customWidth="1"/>
    <col min="13840" max="13840" width="6.6640625" style="372" customWidth="1"/>
    <col min="13841" max="13841" width="11.44140625" style="372" customWidth="1"/>
    <col min="13842" max="13842" width="12.33203125" style="372" customWidth="1"/>
    <col min="13843" max="13843" width="11.33203125" style="372" customWidth="1"/>
    <col min="13844" max="13844" width="12.44140625" style="372" customWidth="1"/>
    <col min="13845" max="13845" width="13" style="372" customWidth="1"/>
    <col min="13846" max="13846" width="9.5546875" style="372" customWidth="1"/>
    <col min="13847" max="13847" width="11.44140625" style="372" customWidth="1"/>
    <col min="13848" max="14077" width="9.109375" style="372"/>
    <col min="14078" max="14078" width="9.44140625" style="372" customWidth="1"/>
    <col min="14079" max="14079" width="31.44140625" style="372" customWidth="1"/>
    <col min="14080" max="14085" width="0" style="372" hidden="1" customWidth="1"/>
    <col min="14086" max="14086" width="8.6640625" style="372" customWidth="1"/>
    <col min="14087" max="14087" width="8.109375" style="372" customWidth="1"/>
    <col min="14088" max="14088" width="14.44140625" style="372" customWidth="1"/>
    <col min="14089" max="14089" width="13.33203125" style="372" customWidth="1"/>
    <col min="14090" max="14090" width="9.6640625" style="372" customWidth="1"/>
    <col min="14091" max="14091" width="13.5546875" style="372" customWidth="1"/>
    <col min="14092" max="14092" width="10.5546875" style="372" customWidth="1"/>
    <col min="14093" max="14093" width="11.33203125" style="372" customWidth="1"/>
    <col min="14094" max="14094" width="8.6640625" style="372" customWidth="1"/>
    <col min="14095" max="14095" width="9" style="372" customWidth="1"/>
    <col min="14096" max="14096" width="6.6640625" style="372" customWidth="1"/>
    <col min="14097" max="14097" width="11.44140625" style="372" customWidth="1"/>
    <col min="14098" max="14098" width="12.33203125" style="372" customWidth="1"/>
    <col min="14099" max="14099" width="11.33203125" style="372" customWidth="1"/>
    <col min="14100" max="14100" width="12.44140625" style="372" customWidth="1"/>
    <col min="14101" max="14101" width="13" style="372" customWidth="1"/>
    <col min="14102" max="14102" width="9.5546875" style="372" customWidth="1"/>
    <col min="14103" max="14103" width="11.44140625" style="372" customWidth="1"/>
    <col min="14104" max="14333" width="9.109375" style="372"/>
    <col min="14334" max="14334" width="9.44140625" style="372" customWidth="1"/>
    <col min="14335" max="14335" width="31.44140625" style="372" customWidth="1"/>
    <col min="14336" max="14341" width="0" style="372" hidden="1" customWidth="1"/>
    <col min="14342" max="14342" width="8.6640625" style="372" customWidth="1"/>
    <col min="14343" max="14343" width="8.109375" style="372" customWidth="1"/>
    <col min="14344" max="14344" width="14.44140625" style="372" customWidth="1"/>
    <col min="14345" max="14345" width="13.33203125" style="372" customWidth="1"/>
    <col min="14346" max="14346" width="9.6640625" style="372" customWidth="1"/>
    <col min="14347" max="14347" width="13.5546875" style="372" customWidth="1"/>
    <col min="14348" max="14348" width="10.5546875" style="372" customWidth="1"/>
    <col min="14349" max="14349" width="11.33203125" style="372" customWidth="1"/>
    <col min="14350" max="14350" width="8.6640625" style="372" customWidth="1"/>
    <col min="14351" max="14351" width="9" style="372" customWidth="1"/>
    <col min="14352" max="14352" width="6.6640625" style="372" customWidth="1"/>
    <col min="14353" max="14353" width="11.44140625" style="372" customWidth="1"/>
    <col min="14354" max="14354" width="12.33203125" style="372" customWidth="1"/>
    <col min="14355" max="14355" width="11.33203125" style="372" customWidth="1"/>
    <col min="14356" max="14356" width="12.44140625" style="372" customWidth="1"/>
    <col min="14357" max="14357" width="13" style="372" customWidth="1"/>
    <col min="14358" max="14358" width="9.5546875" style="372" customWidth="1"/>
    <col min="14359" max="14359" width="11.44140625" style="372" customWidth="1"/>
    <col min="14360" max="14589" width="9.109375" style="372"/>
    <col min="14590" max="14590" width="9.44140625" style="372" customWidth="1"/>
    <col min="14591" max="14591" width="31.44140625" style="372" customWidth="1"/>
    <col min="14592" max="14597" width="0" style="372" hidden="1" customWidth="1"/>
    <col min="14598" max="14598" width="8.6640625" style="372" customWidth="1"/>
    <col min="14599" max="14599" width="8.109375" style="372" customWidth="1"/>
    <col min="14600" max="14600" width="14.44140625" style="372" customWidth="1"/>
    <col min="14601" max="14601" width="13.33203125" style="372" customWidth="1"/>
    <col min="14602" max="14602" width="9.6640625" style="372" customWidth="1"/>
    <col min="14603" max="14603" width="13.5546875" style="372" customWidth="1"/>
    <col min="14604" max="14604" width="10.5546875" style="372" customWidth="1"/>
    <col min="14605" max="14605" width="11.33203125" style="372" customWidth="1"/>
    <col min="14606" max="14606" width="8.6640625" style="372" customWidth="1"/>
    <col min="14607" max="14607" width="9" style="372" customWidth="1"/>
    <col min="14608" max="14608" width="6.6640625" style="372" customWidth="1"/>
    <col min="14609" max="14609" width="11.44140625" style="372" customWidth="1"/>
    <col min="14610" max="14610" width="12.33203125" style="372" customWidth="1"/>
    <col min="14611" max="14611" width="11.33203125" style="372" customWidth="1"/>
    <col min="14612" max="14612" width="12.44140625" style="372" customWidth="1"/>
    <col min="14613" max="14613" width="13" style="372" customWidth="1"/>
    <col min="14614" max="14614" width="9.5546875" style="372" customWidth="1"/>
    <col min="14615" max="14615" width="11.44140625" style="372" customWidth="1"/>
    <col min="14616" max="14845" width="9.109375" style="372"/>
    <col min="14846" max="14846" width="9.44140625" style="372" customWidth="1"/>
    <col min="14847" max="14847" width="31.44140625" style="372" customWidth="1"/>
    <col min="14848" max="14853" width="0" style="372" hidden="1" customWidth="1"/>
    <col min="14854" max="14854" width="8.6640625" style="372" customWidth="1"/>
    <col min="14855" max="14855" width="8.109375" style="372" customWidth="1"/>
    <col min="14856" max="14856" width="14.44140625" style="372" customWidth="1"/>
    <col min="14857" max="14857" width="13.33203125" style="372" customWidth="1"/>
    <col min="14858" max="14858" width="9.6640625" style="372" customWidth="1"/>
    <col min="14859" max="14859" width="13.5546875" style="372" customWidth="1"/>
    <col min="14860" max="14860" width="10.5546875" style="372" customWidth="1"/>
    <col min="14861" max="14861" width="11.33203125" style="372" customWidth="1"/>
    <col min="14862" max="14862" width="8.6640625" style="372" customWidth="1"/>
    <col min="14863" max="14863" width="9" style="372" customWidth="1"/>
    <col min="14864" max="14864" width="6.6640625" style="372" customWidth="1"/>
    <col min="14865" max="14865" width="11.44140625" style="372" customWidth="1"/>
    <col min="14866" max="14866" width="12.33203125" style="372" customWidth="1"/>
    <col min="14867" max="14867" width="11.33203125" style="372" customWidth="1"/>
    <col min="14868" max="14868" width="12.44140625" style="372" customWidth="1"/>
    <col min="14869" max="14869" width="13" style="372" customWidth="1"/>
    <col min="14870" max="14870" width="9.5546875" style="372" customWidth="1"/>
    <col min="14871" max="14871" width="11.44140625" style="372" customWidth="1"/>
    <col min="14872" max="15101" width="9.109375" style="372"/>
    <col min="15102" max="15102" width="9.44140625" style="372" customWidth="1"/>
    <col min="15103" max="15103" width="31.44140625" style="372" customWidth="1"/>
    <col min="15104" max="15109" width="0" style="372" hidden="1" customWidth="1"/>
    <col min="15110" max="15110" width="8.6640625" style="372" customWidth="1"/>
    <col min="15111" max="15111" width="8.109375" style="372" customWidth="1"/>
    <col min="15112" max="15112" width="14.44140625" style="372" customWidth="1"/>
    <col min="15113" max="15113" width="13.33203125" style="372" customWidth="1"/>
    <col min="15114" max="15114" width="9.6640625" style="372" customWidth="1"/>
    <col min="15115" max="15115" width="13.5546875" style="372" customWidth="1"/>
    <col min="15116" max="15116" width="10.5546875" style="372" customWidth="1"/>
    <col min="15117" max="15117" width="11.33203125" style="372" customWidth="1"/>
    <col min="15118" max="15118" width="8.6640625" style="372" customWidth="1"/>
    <col min="15119" max="15119" width="9" style="372" customWidth="1"/>
    <col min="15120" max="15120" width="6.6640625" style="372" customWidth="1"/>
    <col min="15121" max="15121" width="11.44140625" style="372" customWidth="1"/>
    <col min="15122" max="15122" width="12.33203125" style="372" customWidth="1"/>
    <col min="15123" max="15123" width="11.33203125" style="372" customWidth="1"/>
    <col min="15124" max="15124" width="12.44140625" style="372" customWidth="1"/>
    <col min="15125" max="15125" width="13" style="372" customWidth="1"/>
    <col min="15126" max="15126" width="9.5546875" style="372" customWidth="1"/>
    <col min="15127" max="15127" width="11.44140625" style="372" customWidth="1"/>
    <col min="15128" max="15357" width="9.109375" style="372"/>
    <col min="15358" max="15358" width="9.44140625" style="372" customWidth="1"/>
    <col min="15359" max="15359" width="31.44140625" style="372" customWidth="1"/>
    <col min="15360" max="15365" width="0" style="372" hidden="1" customWidth="1"/>
    <col min="15366" max="15366" width="8.6640625" style="372" customWidth="1"/>
    <col min="15367" max="15367" width="8.109375" style="372" customWidth="1"/>
    <col min="15368" max="15368" width="14.44140625" style="372" customWidth="1"/>
    <col min="15369" max="15369" width="13.33203125" style="372" customWidth="1"/>
    <col min="15370" max="15370" width="9.6640625" style="372" customWidth="1"/>
    <col min="15371" max="15371" width="13.5546875" style="372" customWidth="1"/>
    <col min="15372" max="15372" width="10.5546875" style="372" customWidth="1"/>
    <col min="15373" max="15373" width="11.33203125" style="372" customWidth="1"/>
    <col min="15374" max="15374" width="8.6640625" style="372" customWidth="1"/>
    <col min="15375" max="15375" width="9" style="372" customWidth="1"/>
    <col min="15376" max="15376" width="6.6640625" style="372" customWidth="1"/>
    <col min="15377" max="15377" width="11.44140625" style="372" customWidth="1"/>
    <col min="15378" max="15378" width="12.33203125" style="372" customWidth="1"/>
    <col min="15379" max="15379" width="11.33203125" style="372" customWidth="1"/>
    <col min="15380" max="15380" width="12.44140625" style="372" customWidth="1"/>
    <col min="15381" max="15381" width="13" style="372" customWidth="1"/>
    <col min="15382" max="15382" width="9.5546875" style="372" customWidth="1"/>
    <col min="15383" max="15383" width="11.44140625" style="372" customWidth="1"/>
    <col min="15384" max="15613" width="9.109375" style="372"/>
    <col min="15614" max="15614" width="9.44140625" style="372" customWidth="1"/>
    <col min="15615" max="15615" width="31.44140625" style="372" customWidth="1"/>
    <col min="15616" max="15621" width="0" style="372" hidden="1" customWidth="1"/>
    <col min="15622" max="15622" width="8.6640625" style="372" customWidth="1"/>
    <col min="15623" max="15623" width="8.109375" style="372" customWidth="1"/>
    <col min="15624" max="15624" width="14.44140625" style="372" customWidth="1"/>
    <col min="15625" max="15625" width="13.33203125" style="372" customWidth="1"/>
    <col min="15626" max="15626" width="9.6640625" style="372" customWidth="1"/>
    <col min="15627" max="15627" width="13.5546875" style="372" customWidth="1"/>
    <col min="15628" max="15628" width="10.5546875" style="372" customWidth="1"/>
    <col min="15629" max="15629" width="11.33203125" style="372" customWidth="1"/>
    <col min="15630" max="15630" width="8.6640625" style="372" customWidth="1"/>
    <col min="15631" max="15631" width="9" style="372" customWidth="1"/>
    <col min="15632" max="15632" width="6.6640625" style="372" customWidth="1"/>
    <col min="15633" max="15633" width="11.44140625" style="372" customWidth="1"/>
    <col min="15634" max="15634" width="12.33203125" style="372" customWidth="1"/>
    <col min="15635" max="15635" width="11.33203125" style="372" customWidth="1"/>
    <col min="15636" max="15636" width="12.44140625" style="372" customWidth="1"/>
    <col min="15637" max="15637" width="13" style="372" customWidth="1"/>
    <col min="15638" max="15638" width="9.5546875" style="372" customWidth="1"/>
    <col min="15639" max="15639" width="11.44140625" style="372" customWidth="1"/>
    <col min="15640" max="15869" width="9.109375" style="372"/>
    <col min="15870" max="15870" width="9.44140625" style="372" customWidth="1"/>
    <col min="15871" max="15871" width="31.44140625" style="372" customWidth="1"/>
    <col min="15872" max="15877" width="0" style="372" hidden="1" customWidth="1"/>
    <col min="15878" max="15878" width="8.6640625" style="372" customWidth="1"/>
    <col min="15879" max="15879" width="8.109375" style="372" customWidth="1"/>
    <col min="15880" max="15880" width="14.44140625" style="372" customWidth="1"/>
    <col min="15881" max="15881" width="13.33203125" style="372" customWidth="1"/>
    <col min="15882" max="15882" width="9.6640625" style="372" customWidth="1"/>
    <col min="15883" max="15883" width="13.5546875" style="372" customWidth="1"/>
    <col min="15884" max="15884" width="10.5546875" style="372" customWidth="1"/>
    <col min="15885" max="15885" width="11.33203125" style="372" customWidth="1"/>
    <col min="15886" max="15886" width="8.6640625" style="372" customWidth="1"/>
    <col min="15887" max="15887" width="9" style="372" customWidth="1"/>
    <col min="15888" max="15888" width="6.6640625" style="372" customWidth="1"/>
    <col min="15889" max="15889" width="11.44140625" style="372" customWidth="1"/>
    <col min="15890" max="15890" width="12.33203125" style="372" customWidth="1"/>
    <col min="15891" max="15891" width="11.33203125" style="372" customWidth="1"/>
    <col min="15892" max="15892" width="12.44140625" style="372" customWidth="1"/>
    <col min="15893" max="15893" width="13" style="372" customWidth="1"/>
    <col min="15894" max="15894" width="9.5546875" style="372" customWidth="1"/>
    <col min="15895" max="15895" width="11.44140625" style="372" customWidth="1"/>
    <col min="15896" max="16125" width="9.109375" style="372"/>
    <col min="16126" max="16126" width="9.44140625" style="372" customWidth="1"/>
    <col min="16127" max="16127" width="31.44140625" style="372" customWidth="1"/>
    <col min="16128" max="16133" width="0" style="372" hidden="1" customWidth="1"/>
    <col min="16134" max="16134" width="8.6640625" style="372" customWidth="1"/>
    <col min="16135" max="16135" width="8.109375" style="372" customWidth="1"/>
    <col min="16136" max="16136" width="14.44140625" style="372" customWidth="1"/>
    <col min="16137" max="16137" width="13.33203125" style="372" customWidth="1"/>
    <col min="16138" max="16138" width="9.6640625" style="372" customWidth="1"/>
    <col min="16139" max="16139" width="13.5546875" style="372" customWidth="1"/>
    <col min="16140" max="16140" width="10.5546875" style="372" customWidth="1"/>
    <col min="16141" max="16141" width="11.33203125" style="372" customWidth="1"/>
    <col min="16142" max="16142" width="8.6640625" style="372" customWidth="1"/>
    <col min="16143" max="16143" width="9" style="372" customWidth="1"/>
    <col min="16144" max="16144" width="6.6640625" style="372" customWidth="1"/>
    <col min="16145" max="16145" width="11.44140625" style="372" customWidth="1"/>
    <col min="16146" max="16146" width="12.33203125" style="372" customWidth="1"/>
    <col min="16147" max="16147" width="11.33203125" style="372" customWidth="1"/>
    <col min="16148" max="16148" width="12.44140625" style="372" customWidth="1"/>
    <col min="16149" max="16149" width="13" style="372" customWidth="1"/>
    <col min="16150" max="16150" width="9.5546875" style="372" customWidth="1"/>
    <col min="16151" max="16151" width="11.44140625" style="372" customWidth="1"/>
    <col min="16152" max="16384" width="9.109375" style="372"/>
  </cols>
  <sheetData>
    <row r="1" spans="1:24" s="344" customFormat="1" ht="60" customHeight="1" thickBot="1" x14ac:dyDescent="0.3">
      <c r="A1" s="755" t="s">
        <v>1622</v>
      </c>
      <c r="B1" s="755"/>
      <c r="C1" s="755"/>
      <c r="D1" s="755"/>
      <c r="E1" s="755"/>
      <c r="F1" s="755"/>
      <c r="G1" s="755"/>
      <c r="H1" s="755"/>
      <c r="I1" s="755"/>
      <c r="J1" s="755"/>
      <c r="K1" s="755"/>
      <c r="L1" s="755"/>
      <c r="M1" s="755"/>
      <c r="N1" s="755"/>
      <c r="O1" s="755"/>
      <c r="P1" s="755"/>
      <c r="Q1" s="755"/>
      <c r="R1" s="755"/>
      <c r="S1" s="755"/>
      <c r="T1" s="755"/>
      <c r="U1" s="755"/>
      <c r="V1" s="755"/>
      <c r="W1" s="756"/>
    </row>
    <row r="2" spans="1:24" s="344" customFormat="1" ht="17.25" customHeight="1" thickBot="1" x14ac:dyDescent="0.3">
      <c r="A2" s="757" t="s">
        <v>392</v>
      </c>
      <c r="B2" s="759" t="s">
        <v>1296</v>
      </c>
      <c r="C2" s="759" t="s">
        <v>0</v>
      </c>
      <c r="D2" s="759" t="s">
        <v>507</v>
      </c>
      <c r="E2" s="759" t="s">
        <v>1297</v>
      </c>
      <c r="F2" s="759" t="s">
        <v>1524</v>
      </c>
      <c r="G2" s="761" t="s">
        <v>1298</v>
      </c>
      <c r="H2" s="763" t="s">
        <v>1603</v>
      </c>
      <c r="I2" s="764"/>
      <c r="J2" s="764"/>
      <c r="K2" s="764"/>
      <c r="L2" s="765"/>
      <c r="M2" s="766" t="s">
        <v>1604</v>
      </c>
      <c r="N2" s="767"/>
      <c r="O2" s="767"/>
      <c r="P2" s="767"/>
      <c r="Q2" s="767"/>
      <c r="R2" s="768"/>
      <c r="S2" s="752" t="s">
        <v>1605</v>
      </c>
      <c r="T2" s="753"/>
      <c r="U2" s="753"/>
      <c r="V2" s="753"/>
      <c r="W2" s="754"/>
      <c r="X2" s="345" t="s">
        <v>895</v>
      </c>
    </row>
    <row r="3" spans="1:24" s="344" customFormat="1" ht="17.25" customHeight="1" x14ac:dyDescent="0.25">
      <c r="A3" s="758"/>
      <c r="B3" s="760"/>
      <c r="C3" s="760"/>
      <c r="D3" s="760"/>
      <c r="E3" s="760"/>
      <c r="F3" s="760"/>
      <c r="G3" s="762"/>
      <c r="H3" s="689" t="s">
        <v>1299</v>
      </c>
      <c r="I3" s="690" t="s">
        <v>1300</v>
      </c>
      <c r="J3" s="690" t="s">
        <v>1301</v>
      </c>
      <c r="K3" s="690" t="s">
        <v>1302</v>
      </c>
      <c r="L3" s="691" t="s">
        <v>1303</v>
      </c>
      <c r="M3" s="662" t="s">
        <v>1299</v>
      </c>
      <c r="N3" s="663" t="s">
        <v>1300</v>
      </c>
      <c r="O3" s="663" t="s">
        <v>1301</v>
      </c>
      <c r="P3" s="663" t="s">
        <v>1302</v>
      </c>
      <c r="Q3" s="663" t="s">
        <v>1303</v>
      </c>
      <c r="R3" s="664" t="s">
        <v>1304</v>
      </c>
      <c r="S3" s="665" t="s">
        <v>1299</v>
      </c>
      <c r="T3" s="666" t="s">
        <v>1300</v>
      </c>
      <c r="U3" s="666" t="s">
        <v>1301</v>
      </c>
      <c r="V3" s="666" t="s">
        <v>1302</v>
      </c>
      <c r="W3" s="667" t="s">
        <v>1303</v>
      </c>
      <c r="X3" s="504"/>
    </row>
    <row r="4" spans="1:24" s="344" customFormat="1" ht="17.25" customHeight="1" x14ac:dyDescent="0.25">
      <c r="A4" s="758"/>
      <c r="B4" s="760"/>
      <c r="C4" s="760"/>
      <c r="D4" s="760"/>
      <c r="E4" s="760"/>
      <c r="F4" s="760"/>
      <c r="G4" s="762"/>
      <c r="H4" s="668" t="s">
        <v>1305</v>
      </c>
      <c r="I4" s="669" t="s">
        <v>1305</v>
      </c>
      <c r="J4" s="669" t="s">
        <v>1305</v>
      </c>
      <c r="K4" s="669" t="s">
        <v>1305</v>
      </c>
      <c r="L4" s="670" t="s">
        <v>1305</v>
      </c>
      <c r="M4" s="668" t="s">
        <v>1305</v>
      </c>
      <c r="N4" s="669" t="s">
        <v>1305</v>
      </c>
      <c r="O4" s="669" t="s">
        <v>1305</v>
      </c>
      <c r="P4" s="669" t="s">
        <v>1305</v>
      </c>
      <c r="Q4" s="669" t="s">
        <v>1305</v>
      </c>
      <c r="R4" s="670" t="s">
        <v>1306</v>
      </c>
      <c r="S4" s="671" t="s">
        <v>1305</v>
      </c>
      <c r="T4" s="672" t="s">
        <v>1305</v>
      </c>
      <c r="U4" s="672" t="s">
        <v>1305</v>
      </c>
      <c r="V4" s="672" t="s">
        <v>1305</v>
      </c>
      <c r="W4" s="673" t="s">
        <v>1305</v>
      </c>
      <c r="X4" s="504"/>
    </row>
    <row r="5" spans="1:24" s="344" customFormat="1" ht="11.25" customHeight="1" x14ac:dyDescent="0.25">
      <c r="A5" s="347" t="s">
        <v>378</v>
      </c>
      <c r="B5" s="348" t="s">
        <v>1307</v>
      </c>
      <c r="C5" s="348" t="s">
        <v>5</v>
      </c>
      <c r="D5" s="348" t="s">
        <v>6</v>
      </c>
      <c r="E5" s="348" t="s">
        <v>4</v>
      </c>
      <c r="F5" s="349" t="s">
        <v>464</v>
      </c>
      <c r="G5" s="364"/>
      <c r="H5" s="674">
        <v>30</v>
      </c>
      <c r="I5" s="675">
        <v>0</v>
      </c>
      <c r="J5" s="675">
        <v>0</v>
      </c>
      <c r="K5" s="675">
        <v>0</v>
      </c>
      <c r="L5" s="676">
        <v>0</v>
      </c>
      <c r="M5" s="674"/>
      <c r="N5" s="357"/>
      <c r="O5" s="357"/>
      <c r="P5" s="357"/>
      <c r="Q5" s="357"/>
      <c r="R5" s="677"/>
      <c r="S5" s="678">
        <f>H5-M5</f>
        <v>30</v>
      </c>
      <c r="T5" s="678">
        <f>I5-N5</f>
        <v>0</v>
      </c>
      <c r="U5" s="678">
        <f t="shared" ref="U5:W20" si="0">J5-O5</f>
        <v>0</v>
      </c>
      <c r="V5" s="678">
        <f t="shared" si="0"/>
        <v>0</v>
      </c>
      <c r="W5" s="678">
        <f t="shared" si="0"/>
        <v>0</v>
      </c>
      <c r="X5" s="346"/>
    </row>
    <row r="6" spans="1:24" s="344" customFormat="1" ht="11.25" customHeight="1" x14ac:dyDescent="0.25">
      <c r="A6" s="347" t="s">
        <v>378</v>
      </c>
      <c r="B6" s="348" t="s">
        <v>424</v>
      </c>
      <c r="C6" s="348" t="s">
        <v>5</v>
      </c>
      <c r="D6" s="348" t="s">
        <v>465</v>
      </c>
      <c r="E6" s="348" t="s">
        <v>375</v>
      </c>
      <c r="F6" s="349" t="s">
        <v>464</v>
      </c>
      <c r="G6" s="500"/>
      <c r="H6" s="679">
        <v>0</v>
      </c>
      <c r="I6" s="675">
        <v>0</v>
      </c>
      <c r="J6" s="675"/>
      <c r="K6" s="697"/>
      <c r="L6" s="676">
        <v>0</v>
      </c>
      <c r="M6" s="674"/>
      <c r="N6" s="357"/>
      <c r="O6" s="357"/>
      <c r="P6" s="357"/>
      <c r="Q6" s="357"/>
      <c r="R6" s="677"/>
      <c r="S6" s="678">
        <f t="shared" ref="S6:T68" si="1">H6-M6</f>
        <v>0</v>
      </c>
      <c r="T6" s="678">
        <f t="shared" si="1"/>
        <v>0</v>
      </c>
      <c r="U6" s="678">
        <f t="shared" si="0"/>
        <v>0</v>
      </c>
      <c r="V6" s="678">
        <f t="shared" si="0"/>
        <v>0</v>
      </c>
      <c r="W6" s="678">
        <f t="shared" si="0"/>
        <v>0</v>
      </c>
      <c r="X6" s="346"/>
    </row>
    <row r="7" spans="1:24" s="344" customFormat="1" ht="11.25" customHeight="1" x14ac:dyDescent="0.25">
      <c r="A7" s="347" t="s">
        <v>378</v>
      </c>
      <c r="B7" s="348" t="s">
        <v>424</v>
      </c>
      <c r="C7" s="348" t="s">
        <v>5</v>
      </c>
      <c r="D7" s="348" t="s">
        <v>14</v>
      </c>
      <c r="E7" s="348" t="s">
        <v>13</v>
      </c>
      <c r="F7" s="349" t="s">
        <v>464</v>
      </c>
      <c r="G7" s="500" t="s">
        <v>1271</v>
      </c>
      <c r="H7" s="679"/>
      <c r="I7" s="675"/>
      <c r="J7" s="675">
        <v>5</v>
      </c>
      <c r="K7" s="675">
        <v>10</v>
      </c>
      <c r="L7" s="676">
        <v>0</v>
      </c>
      <c r="M7" s="674"/>
      <c r="N7" s="357"/>
      <c r="O7" s="357"/>
      <c r="P7" s="357"/>
      <c r="Q7" s="357"/>
      <c r="R7" s="677"/>
      <c r="S7" s="678">
        <f t="shared" si="1"/>
        <v>0</v>
      </c>
      <c r="T7" s="678">
        <f t="shared" si="1"/>
        <v>0</v>
      </c>
      <c r="U7" s="678">
        <f t="shared" si="0"/>
        <v>5</v>
      </c>
      <c r="V7" s="678">
        <f t="shared" si="0"/>
        <v>10</v>
      </c>
      <c r="W7" s="678">
        <f t="shared" si="0"/>
        <v>0</v>
      </c>
      <c r="X7" s="346" t="s">
        <v>1309</v>
      </c>
    </row>
    <row r="8" spans="1:24" s="344" customFormat="1" ht="11.25" customHeight="1" x14ac:dyDescent="0.25">
      <c r="A8" s="347" t="s">
        <v>378</v>
      </c>
      <c r="B8" s="348" t="s">
        <v>462</v>
      </c>
      <c r="C8" s="348" t="s">
        <v>5</v>
      </c>
      <c r="D8" s="358" t="s">
        <v>1310</v>
      </c>
      <c r="E8" s="358" t="s">
        <v>17</v>
      </c>
      <c r="F8" s="349" t="s">
        <v>464</v>
      </c>
      <c r="G8" s="365"/>
      <c r="H8" s="674">
        <v>5</v>
      </c>
      <c r="I8" s="357">
        <v>5</v>
      </c>
      <c r="J8" s="675">
        <v>30</v>
      </c>
      <c r="K8" s="675">
        <v>56</v>
      </c>
      <c r="L8" s="676"/>
      <c r="M8" s="674">
        <v>5</v>
      </c>
      <c r="N8" s="357">
        <v>5</v>
      </c>
      <c r="O8" s="357">
        <v>5</v>
      </c>
      <c r="P8" s="357">
        <v>56</v>
      </c>
      <c r="Q8" s="357">
        <v>0</v>
      </c>
      <c r="R8" s="677" t="s">
        <v>1632</v>
      </c>
      <c r="S8" s="678">
        <f>H8-M8</f>
        <v>0</v>
      </c>
      <c r="T8" s="678">
        <f t="shared" si="1"/>
        <v>0</v>
      </c>
      <c r="U8" s="678">
        <f t="shared" si="0"/>
        <v>25</v>
      </c>
      <c r="V8" s="678">
        <f t="shared" si="0"/>
        <v>0</v>
      </c>
      <c r="W8" s="678">
        <f t="shared" si="0"/>
        <v>0</v>
      </c>
      <c r="X8" s="346" t="s">
        <v>1600</v>
      </c>
    </row>
    <row r="9" spans="1:24" s="344" customFormat="1" ht="11.25" customHeight="1" x14ac:dyDescent="0.25">
      <c r="A9" s="347" t="s">
        <v>378</v>
      </c>
      <c r="B9" s="348" t="s">
        <v>462</v>
      </c>
      <c r="C9" s="348" t="s">
        <v>5</v>
      </c>
      <c r="D9" s="348" t="s">
        <v>8</v>
      </c>
      <c r="E9" s="348" t="s">
        <v>7</v>
      </c>
      <c r="F9" s="349" t="s">
        <v>464</v>
      </c>
      <c r="G9" s="500"/>
      <c r="H9" s="674">
        <v>0</v>
      </c>
      <c r="I9" s="357">
        <v>13</v>
      </c>
      <c r="J9" s="357"/>
      <c r="K9" s="357">
        <v>14</v>
      </c>
      <c r="L9" s="677">
        <v>0</v>
      </c>
      <c r="M9" s="674">
        <v>0</v>
      </c>
      <c r="N9" s="357">
        <v>5</v>
      </c>
      <c r="O9" s="357"/>
      <c r="P9" s="357">
        <v>14</v>
      </c>
      <c r="Q9" s="357">
        <v>0</v>
      </c>
      <c r="R9" s="677" t="s">
        <v>1632</v>
      </c>
      <c r="S9" s="678">
        <f t="shared" si="1"/>
        <v>0</v>
      </c>
      <c r="T9" s="678">
        <f t="shared" si="1"/>
        <v>8</v>
      </c>
      <c r="U9" s="678">
        <f t="shared" si="0"/>
        <v>0</v>
      </c>
      <c r="V9" s="678">
        <f t="shared" si="0"/>
        <v>0</v>
      </c>
      <c r="W9" s="678">
        <f t="shared" si="0"/>
        <v>0</v>
      </c>
      <c r="X9" s="346"/>
    </row>
    <row r="10" spans="1:24" s="344" customFormat="1" ht="11.25" customHeight="1" x14ac:dyDescent="0.25">
      <c r="A10" s="347" t="s">
        <v>378</v>
      </c>
      <c r="B10" s="348" t="s">
        <v>1307</v>
      </c>
      <c r="C10" s="348" t="s">
        <v>5</v>
      </c>
      <c r="D10" s="348" t="s">
        <v>20</v>
      </c>
      <c r="E10" s="348" t="s">
        <v>19</v>
      </c>
      <c r="F10" s="349" t="s">
        <v>464</v>
      </c>
      <c r="G10" s="500"/>
      <c r="H10" s="679"/>
      <c r="I10" s="675">
        <v>0</v>
      </c>
      <c r="J10" s="696">
        <v>0</v>
      </c>
      <c r="K10" s="696">
        <v>0</v>
      </c>
      <c r="L10" s="677"/>
      <c r="M10" s="674"/>
      <c r="N10" s="357"/>
      <c r="O10" s="357"/>
      <c r="P10" s="357"/>
      <c r="Q10" s="357"/>
      <c r="R10" s="677"/>
      <c r="S10" s="678">
        <f t="shared" si="1"/>
        <v>0</v>
      </c>
      <c r="T10" s="678">
        <f t="shared" si="1"/>
        <v>0</v>
      </c>
      <c r="U10" s="678">
        <f t="shared" si="0"/>
        <v>0</v>
      </c>
      <c r="V10" s="678">
        <f t="shared" si="0"/>
        <v>0</v>
      </c>
      <c r="W10" s="678">
        <f t="shared" si="0"/>
        <v>0</v>
      </c>
      <c r="X10" s="346"/>
    </row>
    <row r="11" spans="1:24" s="344" customFormat="1" ht="10.95" customHeight="1" x14ac:dyDescent="0.25">
      <c r="A11" s="347" t="s">
        <v>378</v>
      </c>
      <c r="B11" s="348" t="s">
        <v>424</v>
      </c>
      <c r="C11" s="348" t="s">
        <v>5</v>
      </c>
      <c r="D11" s="348" t="s">
        <v>364</v>
      </c>
      <c r="E11" s="348" t="s">
        <v>374</v>
      </c>
      <c r="F11" s="349" t="s">
        <v>464</v>
      </c>
      <c r="G11" s="500" t="s">
        <v>1311</v>
      </c>
      <c r="H11" s="679">
        <v>31</v>
      </c>
      <c r="I11" s="675">
        <v>31</v>
      </c>
      <c r="J11" s="675">
        <v>30</v>
      </c>
      <c r="K11" s="675"/>
      <c r="L11" s="676">
        <v>0</v>
      </c>
      <c r="M11" s="674">
        <v>21</v>
      </c>
      <c r="N11" s="357">
        <v>21</v>
      </c>
      <c r="O11" s="357">
        <v>30</v>
      </c>
      <c r="P11" s="357"/>
      <c r="Q11" s="357"/>
      <c r="R11" s="677" t="s">
        <v>1601</v>
      </c>
      <c r="S11" s="678">
        <f t="shared" si="1"/>
        <v>10</v>
      </c>
      <c r="T11" s="678">
        <f t="shared" si="1"/>
        <v>10</v>
      </c>
      <c r="U11" s="678">
        <f t="shared" si="0"/>
        <v>0</v>
      </c>
      <c r="V11" s="678">
        <f t="shared" si="0"/>
        <v>0</v>
      </c>
      <c r="W11" s="678">
        <f t="shared" si="0"/>
        <v>0</v>
      </c>
      <c r="X11" s="346" t="s">
        <v>1309</v>
      </c>
    </row>
    <row r="12" spans="1:24" s="344" customFormat="1" ht="11.25" customHeight="1" x14ac:dyDescent="0.25">
      <c r="A12" s="347" t="s">
        <v>378</v>
      </c>
      <c r="B12" s="348" t="s">
        <v>424</v>
      </c>
      <c r="C12" s="348" t="s">
        <v>5</v>
      </c>
      <c r="D12" s="348" t="s">
        <v>22</v>
      </c>
      <c r="E12" s="348" t="s">
        <v>21</v>
      </c>
      <c r="F12" s="349" t="s">
        <v>464</v>
      </c>
      <c r="G12" s="500" t="s">
        <v>1271</v>
      </c>
      <c r="H12" s="679">
        <v>122</v>
      </c>
      <c r="I12" s="675">
        <v>140</v>
      </c>
      <c r="J12" s="675">
        <v>30</v>
      </c>
      <c r="K12" s="675">
        <v>50</v>
      </c>
      <c r="L12" s="676">
        <v>0</v>
      </c>
      <c r="M12" s="674">
        <v>80</v>
      </c>
      <c r="N12" s="357">
        <v>80</v>
      </c>
      <c r="O12" s="357"/>
      <c r="P12" s="357"/>
      <c r="Q12" s="357"/>
      <c r="R12" s="677" t="s">
        <v>778</v>
      </c>
      <c r="S12" s="678">
        <f t="shared" si="1"/>
        <v>42</v>
      </c>
      <c r="T12" s="678">
        <f t="shared" si="1"/>
        <v>60</v>
      </c>
      <c r="U12" s="678">
        <f t="shared" si="0"/>
        <v>30</v>
      </c>
      <c r="V12" s="678">
        <f t="shared" si="0"/>
        <v>50</v>
      </c>
      <c r="W12" s="678">
        <f t="shared" si="0"/>
        <v>0</v>
      </c>
      <c r="X12" s="346"/>
    </row>
    <row r="13" spans="1:24" s="344" customFormat="1" ht="11.25" customHeight="1" x14ac:dyDescent="0.25">
      <c r="A13" s="347" t="s">
        <v>378</v>
      </c>
      <c r="B13" s="348" t="s">
        <v>462</v>
      </c>
      <c r="C13" s="348" t="s">
        <v>5</v>
      </c>
      <c r="D13" s="348" t="s">
        <v>1312</v>
      </c>
      <c r="E13" s="348" t="s">
        <v>23</v>
      </c>
      <c r="F13" s="349" t="s">
        <v>464</v>
      </c>
      <c r="G13" s="500"/>
      <c r="H13" s="695">
        <v>0</v>
      </c>
      <c r="I13" s="357">
        <v>0</v>
      </c>
      <c r="J13" s="357"/>
      <c r="K13" s="357"/>
      <c r="L13" s="677">
        <v>0</v>
      </c>
      <c r="M13" s="674">
        <v>0</v>
      </c>
      <c r="N13" s="357">
        <v>0</v>
      </c>
      <c r="O13" s="357">
        <v>0</v>
      </c>
      <c r="P13" s="357">
        <v>0</v>
      </c>
      <c r="Q13" s="357">
        <v>0</v>
      </c>
      <c r="R13" s="677"/>
      <c r="S13" s="678">
        <f t="shared" si="1"/>
        <v>0</v>
      </c>
      <c r="T13" s="678">
        <f t="shared" si="1"/>
        <v>0</v>
      </c>
      <c r="U13" s="678">
        <f t="shared" si="0"/>
        <v>0</v>
      </c>
      <c r="V13" s="678">
        <f t="shared" si="0"/>
        <v>0</v>
      </c>
      <c r="W13" s="678">
        <f t="shared" si="0"/>
        <v>0</v>
      </c>
      <c r="X13" s="346"/>
    </row>
    <row r="14" spans="1:24" s="344" customFormat="1" ht="11.25" customHeight="1" x14ac:dyDescent="0.25">
      <c r="A14" s="347" t="s">
        <v>378</v>
      </c>
      <c r="B14" s="348" t="s">
        <v>462</v>
      </c>
      <c r="C14" s="348" t="s">
        <v>5</v>
      </c>
      <c r="D14" s="348" t="s">
        <v>26</v>
      </c>
      <c r="E14" s="348" t="s">
        <v>25</v>
      </c>
      <c r="F14" s="349" t="s">
        <v>464</v>
      </c>
      <c r="G14" s="500"/>
      <c r="H14" s="674">
        <v>0</v>
      </c>
      <c r="I14" s="357">
        <v>0</v>
      </c>
      <c r="J14" s="357"/>
      <c r="K14" s="357"/>
      <c r="L14" s="677">
        <v>0</v>
      </c>
      <c r="M14" s="674">
        <v>0</v>
      </c>
      <c r="N14" s="357">
        <v>0</v>
      </c>
      <c r="O14" s="357">
        <v>0</v>
      </c>
      <c r="P14" s="357">
        <v>0</v>
      </c>
      <c r="Q14" s="357">
        <v>0</v>
      </c>
      <c r="R14" s="677"/>
      <c r="S14" s="678">
        <f t="shared" si="1"/>
        <v>0</v>
      </c>
      <c r="T14" s="678">
        <f t="shared" si="1"/>
        <v>0</v>
      </c>
      <c r="U14" s="678">
        <f t="shared" si="0"/>
        <v>0</v>
      </c>
      <c r="V14" s="678">
        <f t="shared" si="0"/>
        <v>0</v>
      </c>
      <c r="W14" s="678">
        <f t="shared" si="0"/>
        <v>0</v>
      </c>
      <c r="X14" s="346"/>
    </row>
    <row r="15" spans="1:24" s="344" customFormat="1" ht="11.25" customHeight="1" x14ac:dyDescent="0.25">
      <c r="A15" s="350" t="s">
        <v>3</v>
      </c>
      <c r="B15" s="351"/>
      <c r="C15" s="351"/>
      <c r="D15" s="352"/>
      <c r="E15" s="353"/>
      <c r="F15" s="354"/>
      <c r="G15" s="507"/>
      <c r="H15" s="355">
        <f>SUM(H5:H14)</f>
        <v>188</v>
      </c>
      <c r="I15" s="355">
        <f t="shared" ref="I15:W15" si="2">SUM(I5:I14)</f>
        <v>189</v>
      </c>
      <c r="J15" s="355">
        <f t="shared" si="2"/>
        <v>95</v>
      </c>
      <c r="K15" s="355">
        <f t="shared" si="2"/>
        <v>130</v>
      </c>
      <c r="L15" s="355">
        <f t="shared" si="2"/>
        <v>0</v>
      </c>
      <c r="M15" s="355">
        <f t="shared" si="2"/>
        <v>106</v>
      </c>
      <c r="N15" s="355">
        <f t="shared" si="2"/>
        <v>111</v>
      </c>
      <c r="O15" s="355">
        <f t="shared" si="2"/>
        <v>35</v>
      </c>
      <c r="P15" s="355">
        <f t="shared" si="2"/>
        <v>70</v>
      </c>
      <c r="Q15" s="355">
        <f t="shared" si="2"/>
        <v>0</v>
      </c>
      <c r="R15" s="355">
        <f t="shared" si="2"/>
        <v>0</v>
      </c>
      <c r="S15" s="355">
        <f>SUM(S5:S14)</f>
        <v>82</v>
      </c>
      <c r="T15" s="355">
        <f t="shared" si="2"/>
        <v>78</v>
      </c>
      <c r="U15" s="355">
        <f t="shared" si="2"/>
        <v>60</v>
      </c>
      <c r="V15" s="355">
        <f>SUM(V5:V14)</f>
        <v>60</v>
      </c>
      <c r="W15" s="355">
        <f t="shared" si="2"/>
        <v>0</v>
      </c>
      <c r="X15" s="346"/>
    </row>
    <row r="16" spans="1:24" s="344" customFormat="1" ht="11.25" customHeight="1" x14ac:dyDescent="0.25">
      <c r="A16" s="347" t="s">
        <v>378</v>
      </c>
      <c r="B16" s="348" t="s">
        <v>462</v>
      </c>
      <c r="C16" s="348" t="s">
        <v>27</v>
      </c>
      <c r="D16" s="348" t="s">
        <v>28</v>
      </c>
      <c r="E16" s="348" t="s">
        <v>30</v>
      </c>
      <c r="F16" s="349" t="s">
        <v>464</v>
      </c>
      <c r="G16" s="364"/>
      <c r="H16" s="674">
        <v>20</v>
      </c>
      <c r="I16" s="357">
        <v>20</v>
      </c>
      <c r="J16" s="357">
        <v>30</v>
      </c>
      <c r="K16" s="357">
        <v>20</v>
      </c>
      <c r="L16" s="677"/>
      <c r="M16" s="674"/>
      <c r="N16" s="357"/>
      <c r="O16" s="357">
        <v>18</v>
      </c>
      <c r="P16" s="357"/>
      <c r="Q16" s="357"/>
      <c r="R16" s="677" t="s">
        <v>1632</v>
      </c>
      <c r="S16" s="678">
        <f t="shared" si="1"/>
        <v>20</v>
      </c>
      <c r="T16" s="678">
        <f t="shared" si="1"/>
        <v>20</v>
      </c>
      <c r="U16" s="678">
        <f t="shared" si="0"/>
        <v>12</v>
      </c>
      <c r="V16" s="678">
        <f t="shared" si="0"/>
        <v>20</v>
      </c>
      <c r="W16" s="678">
        <f t="shared" si="0"/>
        <v>0</v>
      </c>
      <c r="X16" s="346"/>
    </row>
    <row r="17" spans="1:24" s="344" customFormat="1" ht="11.25" customHeight="1" x14ac:dyDescent="0.25">
      <c r="A17" s="347" t="s">
        <v>378</v>
      </c>
      <c r="B17" s="348" t="s">
        <v>462</v>
      </c>
      <c r="C17" s="348" t="s">
        <v>27</v>
      </c>
      <c r="D17" s="348" t="s">
        <v>363</v>
      </c>
      <c r="E17" s="348" t="s">
        <v>376</v>
      </c>
      <c r="F17" s="349" t="s">
        <v>464</v>
      </c>
      <c r="G17" s="500"/>
      <c r="H17" s="674">
        <v>10</v>
      </c>
      <c r="I17" s="357">
        <v>10</v>
      </c>
      <c r="J17" s="357">
        <v>20</v>
      </c>
      <c r="K17" s="357">
        <v>35</v>
      </c>
      <c r="L17" s="677">
        <v>0</v>
      </c>
      <c r="M17" s="674"/>
      <c r="N17" s="357"/>
      <c r="O17" s="357">
        <v>8</v>
      </c>
      <c r="P17" s="357">
        <v>35</v>
      </c>
      <c r="Q17" s="357"/>
      <c r="R17" s="677" t="s">
        <v>1632</v>
      </c>
      <c r="S17" s="678">
        <f t="shared" si="1"/>
        <v>10</v>
      </c>
      <c r="T17" s="678">
        <f t="shared" si="1"/>
        <v>10</v>
      </c>
      <c r="U17" s="678">
        <f t="shared" si="0"/>
        <v>12</v>
      </c>
      <c r="V17" s="678">
        <f t="shared" si="0"/>
        <v>0</v>
      </c>
      <c r="W17" s="678">
        <f t="shared" si="0"/>
        <v>0</v>
      </c>
      <c r="X17" s="346"/>
    </row>
    <row r="18" spans="1:24" s="344" customFormat="1" ht="11.25" customHeight="1" x14ac:dyDescent="0.25">
      <c r="A18" s="347" t="s">
        <v>378</v>
      </c>
      <c r="B18" s="348" t="s">
        <v>1313</v>
      </c>
      <c r="C18" s="348" t="s">
        <v>27</v>
      </c>
      <c r="D18" s="348" t="s">
        <v>790</v>
      </c>
      <c r="E18" s="348" t="s">
        <v>789</v>
      </c>
      <c r="F18" s="349" t="s">
        <v>464</v>
      </c>
      <c r="G18" s="364"/>
      <c r="H18" s="674"/>
      <c r="I18" s="675">
        <v>0</v>
      </c>
      <c r="J18" s="675">
        <v>0</v>
      </c>
      <c r="K18" s="675">
        <v>0</v>
      </c>
      <c r="L18" s="676">
        <v>0</v>
      </c>
      <c r="M18" s="674"/>
      <c r="N18" s="357"/>
      <c r="O18" s="357"/>
      <c r="P18" s="357"/>
      <c r="Q18" s="357"/>
      <c r="R18" s="677"/>
      <c r="S18" s="678">
        <f t="shared" si="1"/>
        <v>0</v>
      </c>
      <c r="T18" s="678">
        <f t="shared" si="1"/>
        <v>0</v>
      </c>
      <c r="U18" s="678">
        <f t="shared" si="0"/>
        <v>0</v>
      </c>
      <c r="V18" s="678">
        <f t="shared" si="0"/>
        <v>0</v>
      </c>
      <c r="W18" s="678">
        <f t="shared" si="0"/>
        <v>0</v>
      </c>
      <c r="X18" s="346"/>
    </row>
    <row r="19" spans="1:24" s="344" customFormat="1" ht="11.25" customHeight="1" x14ac:dyDescent="0.25">
      <c r="A19" s="347" t="s">
        <v>378</v>
      </c>
      <c r="B19" s="348" t="s">
        <v>424</v>
      </c>
      <c r="C19" s="348" t="s">
        <v>27</v>
      </c>
      <c r="D19" s="348" t="s">
        <v>362</v>
      </c>
      <c r="E19" s="348" t="s">
        <v>29</v>
      </c>
      <c r="F19" s="349" t="s">
        <v>466</v>
      </c>
      <c r="G19" s="364" t="s">
        <v>1271</v>
      </c>
      <c r="H19" s="680">
        <v>26</v>
      </c>
      <c r="I19" s="681">
        <v>26</v>
      </c>
      <c r="J19" s="681"/>
      <c r="K19" s="681"/>
      <c r="L19" s="682"/>
      <c r="M19" s="674"/>
      <c r="N19" s="357"/>
      <c r="O19" s="357"/>
      <c r="P19" s="357"/>
      <c r="Q19" s="357"/>
      <c r="R19" s="677"/>
      <c r="S19" s="678">
        <f t="shared" si="1"/>
        <v>26</v>
      </c>
      <c r="T19" s="678">
        <f t="shared" si="1"/>
        <v>26</v>
      </c>
      <c r="U19" s="678">
        <f t="shared" si="0"/>
        <v>0</v>
      </c>
      <c r="V19" s="678">
        <f t="shared" si="0"/>
        <v>0</v>
      </c>
      <c r="W19" s="678">
        <f t="shared" si="0"/>
        <v>0</v>
      </c>
      <c r="X19" s="346"/>
    </row>
    <row r="20" spans="1:24" s="344" customFormat="1" ht="11.25" customHeight="1" x14ac:dyDescent="0.25">
      <c r="A20" s="347" t="s">
        <v>378</v>
      </c>
      <c r="B20" s="348" t="s">
        <v>1313</v>
      </c>
      <c r="C20" s="348" t="s">
        <v>27</v>
      </c>
      <c r="D20" s="348" t="s">
        <v>875</v>
      </c>
      <c r="E20" s="348" t="s">
        <v>876</v>
      </c>
      <c r="F20" s="349" t="s">
        <v>464</v>
      </c>
      <c r="G20" s="498"/>
      <c r="H20" s="680"/>
      <c r="I20" s="681"/>
      <c r="J20" s="681"/>
      <c r="K20" s="681"/>
      <c r="L20" s="682"/>
      <c r="M20" s="674"/>
      <c r="N20" s="357"/>
      <c r="O20" s="357"/>
      <c r="P20" s="357"/>
      <c r="Q20" s="357"/>
      <c r="R20" s="677"/>
      <c r="S20" s="678">
        <f t="shared" si="1"/>
        <v>0</v>
      </c>
      <c r="T20" s="678">
        <f t="shared" si="1"/>
        <v>0</v>
      </c>
      <c r="U20" s="678">
        <f t="shared" si="0"/>
        <v>0</v>
      </c>
      <c r="V20" s="678">
        <f t="shared" si="0"/>
        <v>0</v>
      </c>
      <c r="W20" s="678">
        <f t="shared" si="0"/>
        <v>0</v>
      </c>
      <c r="X20" s="346"/>
    </row>
    <row r="21" spans="1:24" s="344" customFormat="1" ht="11.25" customHeight="1" x14ac:dyDescent="0.25">
      <c r="A21" s="350" t="s">
        <v>3</v>
      </c>
      <c r="B21" s="351"/>
      <c r="C21" s="351"/>
      <c r="D21" s="352"/>
      <c r="E21" s="353"/>
      <c r="F21" s="354"/>
      <c r="G21" s="507"/>
      <c r="H21" s="355">
        <f>SUM(H16:H20)</f>
        <v>56</v>
      </c>
      <c r="I21" s="355">
        <f t="shared" ref="I21:W21" si="3">SUM(I16:I20)</f>
        <v>56</v>
      </c>
      <c r="J21" s="355">
        <f t="shared" si="3"/>
        <v>50</v>
      </c>
      <c r="K21" s="355">
        <f t="shared" si="3"/>
        <v>55</v>
      </c>
      <c r="L21" s="355">
        <f t="shared" si="3"/>
        <v>0</v>
      </c>
      <c r="M21" s="355">
        <f t="shared" si="3"/>
        <v>0</v>
      </c>
      <c r="N21" s="355">
        <f t="shared" si="3"/>
        <v>0</v>
      </c>
      <c r="O21" s="355">
        <f t="shared" si="3"/>
        <v>26</v>
      </c>
      <c r="P21" s="355">
        <f t="shared" si="3"/>
        <v>35</v>
      </c>
      <c r="Q21" s="355">
        <f t="shared" si="3"/>
        <v>0</v>
      </c>
      <c r="R21" s="355">
        <f t="shared" si="3"/>
        <v>0</v>
      </c>
      <c r="S21" s="355">
        <f t="shared" si="3"/>
        <v>56</v>
      </c>
      <c r="T21" s="355">
        <f t="shared" si="3"/>
        <v>56</v>
      </c>
      <c r="U21" s="355">
        <f t="shared" si="3"/>
        <v>24</v>
      </c>
      <c r="V21" s="355">
        <f t="shared" si="3"/>
        <v>20</v>
      </c>
      <c r="W21" s="355">
        <f t="shared" si="3"/>
        <v>0</v>
      </c>
      <c r="X21" s="346"/>
    </row>
    <row r="22" spans="1:24" s="344" customFormat="1" ht="11.25" customHeight="1" x14ac:dyDescent="0.25">
      <c r="A22" s="347" t="s">
        <v>378</v>
      </c>
      <c r="B22" s="348" t="s">
        <v>424</v>
      </c>
      <c r="C22" s="348" t="s">
        <v>480</v>
      </c>
      <c r="D22" s="357" t="s">
        <v>1282</v>
      </c>
      <c r="E22" s="348" t="s">
        <v>1273</v>
      </c>
      <c r="F22" s="349" t="s">
        <v>464</v>
      </c>
      <c r="G22" s="364" t="s">
        <v>1311</v>
      </c>
      <c r="H22" s="674"/>
      <c r="I22" s="675"/>
      <c r="J22" s="675"/>
      <c r="K22" s="357"/>
      <c r="L22" s="676"/>
      <c r="M22" s="674"/>
      <c r="N22" s="357"/>
      <c r="O22" s="357"/>
      <c r="P22" s="357"/>
      <c r="Q22" s="357"/>
      <c r="R22" s="677"/>
      <c r="S22" s="678">
        <f t="shared" si="1"/>
        <v>0</v>
      </c>
      <c r="T22" s="678">
        <f t="shared" si="1"/>
        <v>0</v>
      </c>
      <c r="U22" s="678">
        <f t="shared" ref="U22:U86" si="4">J22-O22</f>
        <v>0</v>
      </c>
      <c r="V22" s="678">
        <f t="shared" ref="V22:V86" si="5">K22-P22</f>
        <v>0</v>
      </c>
      <c r="W22" s="678">
        <f t="shared" ref="W22:W86" si="6">L22-Q22</f>
        <v>0</v>
      </c>
      <c r="X22" s="346"/>
    </row>
    <row r="23" spans="1:24" s="344" customFormat="1" ht="11.25" customHeight="1" x14ac:dyDescent="0.25">
      <c r="A23" s="347" t="s">
        <v>378</v>
      </c>
      <c r="B23" s="348" t="s">
        <v>462</v>
      </c>
      <c r="C23" s="348" t="s">
        <v>480</v>
      </c>
      <c r="D23" s="357" t="s">
        <v>41</v>
      </c>
      <c r="E23" s="348" t="s">
        <v>40</v>
      </c>
      <c r="F23" s="349" t="s">
        <v>464</v>
      </c>
      <c r="G23" s="500"/>
      <c r="H23" s="674">
        <v>0</v>
      </c>
      <c r="I23" s="675">
        <v>0</v>
      </c>
      <c r="J23" s="675">
        <v>12</v>
      </c>
      <c r="K23" s="357">
        <v>25</v>
      </c>
      <c r="L23" s="676">
        <v>0</v>
      </c>
      <c r="M23" s="674"/>
      <c r="N23" s="357"/>
      <c r="O23" s="357">
        <v>10</v>
      </c>
      <c r="P23" s="357">
        <v>15</v>
      </c>
      <c r="Q23" s="357"/>
      <c r="R23" s="677" t="s">
        <v>1632</v>
      </c>
      <c r="S23" s="678">
        <f t="shared" si="1"/>
        <v>0</v>
      </c>
      <c r="T23" s="678">
        <f t="shared" si="1"/>
        <v>0</v>
      </c>
      <c r="U23" s="678">
        <f t="shared" si="4"/>
        <v>2</v>
      </c>
      <c r="V23" s="678">
        <f t="shared" si="5"/>
        <v>10</v>
      </c>
      <c r="W23" s="678">
        <f t="shared" si="6"/>
        <v>0</v>
      </c>
      <c r="X23" s="346"/>
    </row>
    <row r="24" spans="1:24" s="344" customFormat="1" ht="11.25" customHeight="1" x14ac:dyDescent="0.25">
      <c r="A24" s="347" t="s">
        <v>378</v>
      </c>
      <c r="B24" s="348" t="s">
        <v>462</v>
      </c>
      <c r="C24" s="348" t="s">
        <v>480</v>
      </c>
      <c r="D24" s="357" t="s">
        <v>72</v>
      </c>
      <c r="E24" s="348" t="s">
        <v>71</v>
      </c>
      <c r="F24" s="349" t="s">
        <v>464</v>
      </c>
      <c r="G24" s="364"/>
      <c r="H24" s="674">
        <v>0</v>
      </c>
      <c r="I24" s="357">
        <v>0</v>
      </c>
      <c r="J24" s="357"/>
      <c r="K24" s="357">
        <v>2</v>
      </c>
      <c r="L24" s="677"/>
      <c r="M24" s="674"/>
      <c r="N24" s="357"/>
      <c r="O24" s="357"/>
      <c r="P24" s="357">
        <v>2</v>
      </c>
      <c r="Q24" s="357"/>
      <c r="R24" s="677" t="s">
        <v>1632</v>
      </c>
      <c r="S24" s="678">
        <f t="shared" si="1"/>
        <v>0</v>
      </c>
      <c r="T24" s="678">
        <f t="shared" si="1"/>
        <v>0</v>
      </c>
      <c r="U24" s="678">
        <f t="shared" si="4"/>
        <v>0</v>
      </c>
      <c r="V24" s="678">
        <f t="shared" si="5"/>
        <v>0</v>
      </c>
      <c r="W24" s="678">
        <f t="shared" si="6"/>
        <v>0</v>
      </c>
      <c r="X24" s="346"/>
    </row>
    <row r="25" spans="1:24" s="344" customFormat="1" ht="11.25" customHeight="1" x14ac:dyDescent="0.25">
      <c r="A25" s="347" t="s">
        <v>378</v>
      </c>
      <c r="B25" s="348" t="s">
        <v>462</v>
      </c>
      <c r="C25" s="348" t="s">
        <v>480</v>
      </c>
      <c r="D25" s="357" t="s">
        <v>43</v>
      </c>
      <c r="E25" s="348" t="s">
        <v>42</v>
      </c>
      <c r="F25" s="349" t="s">
        <v>464</v>
      </c>
      <c r="G25" s="500"/>
      <c r="H25" s="674"/>
      <c r="I25" s="357"/>
      <c r="J25" s="357"/>
      <c r="K25" s="357"/>
      <c r="L25" s="677"/>
      <c r="M25" s="674"/>
      <c r="N25" s="357"/>
      <c r="O25" s="357"/>
      <c r="P25" s="357"/>
      <c r="Q25" s="357"/>
      <c r="R25" s="677"/>
      <c r="S25" s="678">
        <f t="shared" si="1"/>
        <v>0</v>
      </c>
      <c r="T25" s="678">
        <f t="shared" si="1"/>
        <v>0</v>
      </c>
      <c r="U25" s="678">
        <f t="shared" si="4"/>
        <v>0</v>
      </c>
      <c r="V25" s="678">
        <f t="shared" si="5"/>
        <v>0</v>
      </c>
      <c r="W25" s="678">
        <f t="shared" si="6"/>
        <v>0</v>
      </c>
      <c r="X25" s="346"/>
    </row>
    <row r="26" spans="1:24" s="344" customFormat="1" ht="11.25" customHeight="1" x14ac:dyDescent="0.25">
      <c r="A26" s="347" t="s">
        <v>378</v>
      </c>
      <c r="B26" s="348" t="s">
        <v>462</v>
      </c>
      <c r="C26" s="358" t="s">
        <v>480</v>
      </c>
      <c r="D26" s="556" t="s">
        <v>1314</v>
      </c>
      <c r="E26" s="358" t="s">
        <v>75</v>
      </c>
      <c r="F26" s="363" t="s">
        <v>464</v>
      </c>
      <c r="G26" s="365"/>
      <c r="H26" s="674">
        <v>10</v>
      </c>
      <c r="I26" s="357">
        <v>10</v>
      </c>
      <c r="J26" s="357">
        <v>10</v>
      </c>
      <c r="K26" s="357">
        <v>40</v>
      </c>
      <c r="L26" s="677">
        <v>0</v>
      </c>
      <c r="M26" s="674">
        <v>5</v>
      </c>
      <c r="N26" s="357"/>
      <c r="O26" s="357"/>
      <c r="P26" s="357">
        <v>20</v>
      </c>
      <c r="Q26" s="357"/>
      <c r="R26" s="677" t="s">
        <v>1632</v>
      </c>
      <c r="S26" s="678">
        <f t="shared" si="1"/>
        <v>5</v>
      </c>
      <c r="T26" s="678">
        <f t="shared" si="1"/>
        <v>10</v>
      </c>
      <c r="U26" s="678">
        <f t="shared" si="4"/>
        <v>10</v>
      </c>
      <c r="V26" s="678">
        <f t="shared" si="5"/>
        <v>20</v>
      </c>
      <c r="W26" s="678">
        <f t="shared" si="6"/>
        <v>0</v>
      </c>
      <c r="X26" s="346"/>
    </row>
    <row r="27" spans="1:24" s="344" customFormat="1" ht="11.25" customHeight="1" x14ac:dyDescent="0.25">
      <c r="A27" s="347" t="s">
        <v>378</v>
      </c>
      <c r="B27" s="348" t="s">
        <v>462</v>
      </c>
      <c r="C27" s="348" t="s">
        <v>480</v>
      </c>
      <c r="D27" s="357" t="s">
        <v>44</v>
      </c>
      <c r="E27" s="348" t="s">
        <v>45</v>
      </c>
      <c r="F27" s="349" t="s">
        <v>464</v>
      </c>
      <c r="G27" s="500"/>
      <c r="H27" s="674">
        <v>0</v>
      </c>
      <c r="I27" s="357">
        <v>0</v>
      </c>
      <c r="J27" s="357"/>
      <c r="K27" s="357"/>
      <c r="L27" s="677">
        <v>0</v>
      </c>
      <c r="M27" s="674"/>
      <c r="N27" s="357"/>
      <c r="O27" s="357"/>
      <c r="P27" s="357"/>
      <c r="Q27" s="357"/>
      <c r="R27" s="677"/>
      <c r="S27" s="678">
        <f t="shared" si="1"/>
        <v>0</v>
      </c>
      <c r="T27" s="678">
        <f t="shared" si="1"/>
        <v>0</v>
      </c>
      <c r="U27" s="678">
        <f t="shared" si="4"/>
        <v>0</v>
      </c>
      <c r="V27" s="678">
        <f t="shared" si="5"/>
        <v>0</v>
      </c>
      <c r="W27" s="678">
        <f t="shared" si="6"/>
        <v>0</v>
      </c>
      <c r="X27" s="346"/>
    </row>
    <row r="28" spans="1:24" s="344" customFormat="1" ht="11.25" customHeight="1" x14ac:dyDescent="0.25">
      <c r="A28" s="347" t="s">
        <v>378</v>
      </c>
      <c r="B28" s="348" t="s">
        <v>424</v>
      </c>
      <c r="C28" s="348" t="s">
        <v>480</v>
      </c>
      <c r="D28" s="357" t="s">
        <v>52</v>
      </c>
      <c r="E28" s="357" t="s">
        <v>51</v>
      </c>
      <c r="F28" s="349" t="s">
        <v>464</v>
      </c>
      <c r="G28" s="500" t="s">
        <v>1311</v>
      </c>
      <c r="H28" s="674"/>
      <c r="I28" s="357"/>
      <c r="J28" s="357"/>
      <c r="K28" s="357"/>
      <c r="L28" s="677"/>
      <c r="M28" s="674">
        <v>0</v>
      </c>
      <c r="N28" s="357">
        <v>0</v>
      </c>
      <c r="O28" s="357">
        <v>0</v>
      </c>
      <c r="P28" s="357">
        <v>0</v>
      </c>
      <c r="Q28" s="357">
        <v>0</v>
      </c>
      <c r="R28" s="677"/>
      <c r="S28" s="678">
        <f t="shared" si="1"/>
        <v>0</v>
      </c>
      <c r="T28" s="678">
        <f t="shared" si="1"/>
        <v>0</v>
      </c>
      <c r="U28" s="678">
        <f t="shared" si="4"/>
        <v>0</v>
      </c>
      <c r="V28" s="678">
        <f t="shared" si="5"/>
        <v>0</v>
      </c>
      <c r="W28" s="678">
        <f t="shared" si="6"/>
        <v>0</v>
      </c>
      <c r="X28" s="346"/>
    </row>
    <row r="29" spans="1:24" s="344" customFormat="1" ht="11.25" customHeight="1" x14ac:dyDescent="0.25">
      <c r="A29" s="347" t="s">
        <v>378</v>
      </c>
      <c r="B29" s="348" t="s">
        <v>462</v>
      </c>
      <c r="C29" s="348" t="s">
        <v>480</v>
      </c>
      <c r="D29" s="357" t="s">
        <v>1315</v>
      </c>
      <c r="E29" s="348" t="s">
        <v>89</v>
      </c>
      <c r="F29" s="349" t="s">
        <v>464</v>
      </c>
      <c r="G29" s="500"/>
      <c r="H29" s="674">
        <v>0</v>
      </c>
      <c r="I29" s="357">
        <v>0</v>
      </c>
      <c r="J29" s="357">
        <v>20</v>
      </c>
      <c r="K29" s="357">
        <v>10</v>
      </c>
      <c r="L29" s="677">
        <v>0</v>
      </c>
      <c r="M29" s="674"/>
      <c r="N29" s="357"/>
      <c r="O29" s="357"/>
      <c r="P29" s="357"/>
      <c r="Q29" s="357"/>
      <c r="R29" s="677"/>
      <c r="S29" s="678">
        <f t="shared" si="1"/>
        <v>0</v>
      </c>
      <c r="T29" s="678">
        <f t="shared" si="1"/>
        <v>0</v>
      </c>
      <c r="U29" s="678">
        <f t="shared" si="4"/>
        <v>20</v>
      </c>
      <c r="V29" s="678">
        <f t="shared" si="5"/>
        <v>10</v>
      </c>
      <c r="W29" s="678">
        <f t="shared" si="6"/>
        <v>0</v>
      </c>
      <c r="X29" s="346"/>
    </row>
    <row r="30" spans="1:24" s="344" customFormat="1" ht="11.25" customHeight="1" x14ac:dyDescent="0.25">
      <c r="A30" s="347" t="s">
        <v>378</v>
      </c>
      <c r="B30" s="348" t="s">
        <v>462</v>
      </c>
      <c r="C30" s="348" t="s">
        <v>480</v>
      </c>
      <c r="D30" s="357" t="s">
        <v>92</v>
      </c>
      <c r="E30" s="348" t="s">
        <v>91</v>
      </c>
      <c r="F30" s="349" t="s">
        <v>464</v>
      </c>
      <c r="G30" s="364"/>
      <c r="H30" s="674"/>
      <c r="I30" s="357"/>
      <c r="J30" s="357">
        <v>10</v>
      </c>
      <c r="K30" s="357"/>
      <c r="L30" s="677"/>
      <c r="M30" s="674"/>
      <c r="N30" s="357"/>
      <c r="O30" s="357"/>
      <c r="P30" s="357"/>
      <c r="Q30" s="357"/>
      <c r="R30" s="677"/>
      <c r="S30" s="678">
        <f t="shared" si="1"/>
        <v>0</v>
      </c>
      <c r="T30" s="678">
        <f t="shared" si="1"/>
        <v>0</v>
      </c>
      <c r="U30" s="678">
        <f t="shared" si="4"/>
        <v>10</v>
      </c>
      <c r="V30" s="678">
        <f t="shared" si="5"/>
        <v>0</v>
      </c>
      <c r="W30" s="678">
        <f t="shared" si="6"/>
        <v>0</v>
      </c>
      <c r="X30" s="346"/>
    </row>
    <row r="31" spans="1:24" s="344" customFormat="1" ht="11.25" customHeight="1" x14ac:dyDescent="0.25">
      <c r="A31" s="347" t="s">
        <v>378</v>
      </c>
      <c r="B31" s="348" t="s">
        <v>462</v>
      </c>
      <c r="C31" s="348" t="s">
        <v>480</v>
      </c>
      <c r="D31" s="357" t="s">
        <v>100</v>
      </c>
      <c r="E31" s="348" t="s">
        <v>99</v>
      </c>
      <c r="F31" s="349" t="s">
        <v>464</v>
      </c>
      <c r="G31" s="500"/>
      <c r="H31" s="674"/>
      <c r="I31" s="357"/>
      <c r="J31" s="357">
        <v>0</v>
      </c>
      <c r="K31" s="357">
        <v>4</v>
      </c>
      <c r="L31" s="677">
        <v>0</v>
      </c>
      <c r="M31" s="674"/>
      <c r="N31" s="357"/>
      <c r="O31" s="357"/>
      <c r="P31" s="357"/>
      <c r="Q31" s="357"/>
      <c r="R31" s="677"/>
      <c r="S31" s="678">
        <f t="shared" si="1"/>
        <v>0</v>
      </c>
      <c r="T31" s="678">
        <f t="shared" si="1"/>
        <v>0</v>
      </c>
      <c r="U31" s="678">
        <f t="shared" si="4"/>
        <v>0</v>
      </c>
      <c r="V31" s="678">
        <f t="shared" si="5"/>
        <v>4</v>
      </c>
      <c r="W31" s="678">
        <f t="shared" si="6"/>
        <v>0</v>
      </c>
      <c r="X31" s="346"/>
    </row>
    <row r="32" spans="1:24" s="344" customFormat="1" ht="11.25" customHeight="1" x14ac:dyDescent="0.25">
      <c r="A32" s="347" t="s">
        <v>378</v>
      </c>
      <c r="B32" s="348" t="s">
        <v>462</v>
      </c>
      <c r="C32" s="348" t="s">
        <v>480</v>
      </c>
      <c r="D32" s="357" t="s">
        <v>551</v>
      </c>
      <c r="E32" s="348" t="s">
        <v>46</v>
      </c>
      <c r="F32" s="349" t="s">
        <v>464</v>
      </c>
      <c r="G32" s="364"/>
      <c r="H32" s="674">
        <v>0</v>
      </c>
      <c r="I32" s="357">
        <v>0</v>
      </c>
      <c r="J32" s="357">
        <v>0</v>
      </c>
      <c r="K32" s="357">
        <v>10</v>
      </c>
      <c r="L32" s="677">
        <v>0</v>
      </c>
      <c r="M32" s="674"/>
      <c r="N32" s="357"/>
      <c r="O32" s="357"/>
      <c r="P32" s="357"/>
      <c r="Q32" s="357"/>
      <c r="R32" s="677"/>
      <c r="S32" s="678">
        <f t="shared" si="1"/>
        <v>0</v>
      </c>
      <c r="T32" s="678">
        <f t="shared" si="1"/>
        <v>0</v>
      </c>
      <c r="U32" s="678">
        <f t="shared" si="4"/>
        <v>0</v>
      </c>
      <c r="V32" s="678">
        <f t="shared" si="5"/>
        <v>10</v>
      </c>
      <c r="W32" s="678">
        <f t="shared" si="6"/>
        <v>0</v>
      </c>
      <c r="X32" s="346"/>
    </row>
    <row r="33" spans="1:24" s="344" customFormat="1" ht="11.25" customHeight="1" x14ac:dyDescent="0.25">
      <c r="A33" s="347" t="s">
        <v>378</v>
      </c>
      <c r="B33" s="348" t="s">
        <v>1313</v>
      </c>
      <c r="C33" s="348" t="s">
        <v>480</v>
      </c>
      <c r="D33" s="357" t="s">
        <v>1316</v>
      </c>
      <c r="E33" s="348" t="s">
        <v>107</v>
      </c>
      <c r="F33" s="349" t="s">
        <v>464</v>
      </c>
      <c r="G33" s="365"/>
      <c r="H33" s="674"/>
      <c r="I33" s="357">
        <v>53</v>
      </c>
      <c r="J33" s="675"/>
      <c r="K33" s="675">
        <v>0</v>
      </c>
      <c r="L33" s="676"/>
      <c r="M33" s="674"/>
      <c r="N33" s="357">
        <v>53</v>
      </c>
      <c r="O33" s="357"/>
      <c r="P33" s="357"/>
      <c r="Q33" s="357"/>
      <c r="R33" s="677" t="s">
        <v>1584</v>
      </c>
      <c r="S33" s="678">
        <f t="shared" si="1"/>
        <v>0</v>
      </c>
      <c r="T33" s="678">
        <f t="shared" si="1"/>
        <v>0</v>
      </c>
      <c r="U33" s="678">
        <f t="shared" si="4"/>
        <v>0</v>
      </c>
      <c r="V33" s="678">
        <f t="shared" si="5"/>
        <v>0</v>
      </c>
      <c r="W33" s="678">
        <f t="shared" si="6"/>
        <v>0</v>
      </c>
      <c r="X33" s="346"/>
    </row>
    <row r="34" spans="1:24" s="344" customFormat="1" ht="11.25" customHeight="1" x14ac:dyDescent="0.25">
      <c r="A34" s="347" t="s">
        <v>378</v>
      </c>
      <c r="B34" s="348" t="s">
        <v>462</v>
      </c>
      <c r="C34" s="348" t="s">
        <v>480</v>
      </c>
      <c r="D34" s="357" t="s">
        <v>1317</v>
      </c>
      <c r="E34" s="348" t="s">
        <v>117</v>
      </c>
      <c r="F34" s="349" t="s">
        <v>464</v>
      </c>
      <c r="G34" s="364"/>
      <c r="H34" s="674">
        <v>0</v>
      </c>
      <c r="I34" s="357">
        <v>0</v>
      </c>
      <c r="J34" s="357">
        <v>0</v>
      </c>
      <c r="K34" s="357">
        <v>10</v>
      </c>
      <c r="L34" s="677">
        <v>0</v>
      </c>
      <c r="M34" s="674"/>
      <c r="N34" s="357"/>
      <c r="O34" s="357"/>
      <c r="P34" s="357">
        <v>4</v>
      </c>
      <c r="Q34" s="357"/>
      <c r="R34" s="677" t="s">
        <v>1632</v>
      </c>
      <c r="S34" s="678">
        <f t="shared" si="1"/>
        <v>0</v>
      </c>
      <c r="T34" s="678">
        <f t="shared" si="1"/>
        <v>0</v>
      </c>
      <c r="U34" s="678">
        <f t="shared" si="4"/>
        <v>0</v>
      </c>
      <c r="V34" s="678">
        <f t="shared" si="5"/>
        <v>6</v>
      </c>
      <c r="W34" s="678">
        <f t="shared" si="6"/>
        <v>0</v>
      </c>
      <c r="X34" s="346"/>
    </row>
    <row r="35" spans="1:24" s="361" customFormat="1" ht="11.25" customHeight="1" x14ac:dyDescent="0.25">
      <c r="A35" s="347" t="s">
        <v>378</v>
      </c>
      <c r="B35" s="348"/>
      <c r="C35" s="357" t="s">
        <v>480</v>
      </c>
      <c r="D35" s="357" t="s">
        <v>1158</v>
      </c>
      <c r="E35" s="357" t="s">
        <v>1164</v>
      </c>
      <c r="F35" s="359" t="s">
        <v>464</v>
      </c>
      <c r="G35" s="365"/>
      <c r="H35" s="679"/>
      <c r="I35" s="675"/>
      <c r="J35" s="675">
        <v>0</v>
      </c>
      <c r="K35" s="675">
        <v>0</v>
      </c>
      <c r="L35" s="676">
        <v>0</v>
      </c>
      <c r="M35" s="674"/>
      <c r="N35" s="357"/>
      <c r="O35" s="357"/>
      <c r="P35" s="357"/>
      <c r="Q35" s="357"/>
      <c r="R35" s="677"/>
      <c r="S35" s="678">
        <f t="shared" si="1"/>
        <v>0</v>
      </c>
      <c r="T35" s="678">
        <f t="shared" si="1"/>
        <v>0</v>
      </c>
      <c r="U35" s="678">
        <f t="shared" si="4"/>
        <v>0</v>
      </c>
      <c r="V35" s="678">
        <f t="shared" si="5"/>
        <v>0</v>
      </c>
      <c r="W35" s="678">
        <f t="shared" si="6"/>
        <v>0</v>
      </c>
      <c r="X35" s="360"/>
    </row>
    <row r="36" spans="1:24" s="344" customFormat="1" ht="11.25" customHeight="1" x14ac:dyDescent="0.25">
      <c r="A36" s="347" t="s">
        <v>378</v>
      </c>
      <c r="B36" s="348" t="s">
        <v>424</v>
      </c>
      <c r="C36" s="348" t="s">
        <v>480</v>
      </c>
      <c r="D36" s="357" t="s">
        <v>1318</v>
      </c>
      <c r="E36" s="348" t="s">
        <v>125</v>
      </c>
      <c r="F36" s="349" t="s">
        <v>464</v>
      </c>
      <c r="G36" s="501" t="s">
        <v>1311</v>
      </c>
      <c r="H36" s="679"/>
      <c r="I36" s="357"/>
      <c r="J36" s="675">
        <v>0</v>
      </c>
      <c r="K36" s="675">
        <v>0</v>
      </c>
      <c r="L36" s="676">
        <v>0</v>
      </c>
      <c r="M36" s="674"/>
      <c r="N36" s="357"/>
      <c r="O36" s="357"/>
      <c r="P36" s="357"/>
      <c r="Q36" s="357"/>
      <c r="R36" s="677"/>
      <c r="S36" s="678">
        <f t="shared" si="1"/>
        <v>0</v>
      </c>
      <c r="T36" s="678">
        <f t="shared" si="1"/>
        <v>0</v>
      </c>
      <c r="U36" s="678">
        <f t="shared" si="4"/>
        <v>0</v>
      </c>
      <c r="V36" s="678">
        <f t="shared" si="5"/>
        <v>0</v>
      </c>
      <c r="W36" s="678">
        <f t="shared" si="6"/>
        <v>0</v>
      </c>
      <c r="X36" s="346"/>
    </row>
    <row r="37" spans="1:24" s="344" customFormat="1" ht="11.25" customHeight="1" x14ac:dyDescent="0.25">
      <c r="A37" s="347" t="s">
        <v>378</v>
      </c>
      <c r="B37" s="348" t="s">
        <v>424</v>
      </c>
      <c r="C37" s="348" t="s">
        <v>480</v>
      </c>
      <c r="D37" s="357" t="s">
        <v>1319</v>
      </c>
      <c r="E37" s="348" t="s">
        <v>139</v>
      </c>
      <c r="F37" s="349" t="s">
        <v>464</v>
      </c>
      <c r="G37" s="501" t="s">
        <v>1311</v>
      </c>
      <c r="H37" s="679">
        <v>8</v>
      </c>
      <c r="I37" s="357">
        <v>8</v>
      </c>
      <c r="J37" s="675">
        <v>10</v>
      </c>
      <c r="K37" s="675">
        <v>0</v>
      </c>
      <c r="L37" s="676">
        <v>0</v>
      </c>
      <c r="M37" s="674"/>
      <c r="N37" s="357"/>
      <c r="O37" s="357"/>
      <c r="P37" s="357"/>
      <c r="Q37" s="357"/>
      <c r="R37" s="677"/>
      <c r="S37" s="678">
        <f t="shared" si="1"/>
        <v>8</v>
      </c>
      <c r="T37" s="678">
        <f t="shared" si="1"/>
        <v>8</v>
      </c>
      <c r="U37" s="678">
        <f t="shared" si="4"/>
        <v>10</v>
      </c>
      <c r="V37" s="678">
        <f t="shared" si="5"/>
        <v>0</v>
      </c>
      <c r="W37" s="678">
        <f t="shared" si="6"/>
        <v>0</v>
      </c>
      <c r="X37" s="346" t="s">
        <v>1309</v>
      </c>
    </row>
    <row r="38" spans="1:24" s="344" customFormat="1" ht="11.25" customHeight="1" x14ac:dyDescent="0.25">
      <c r="A38" s="347" t="s">
        <v>378</v>
      </c>
      <c r="B38" s="348" t="s">
        <v>424</v>
      </c>
      <c r="C38" s="348" t="s">
        <v>480</v>
      </c>
      <c r="D38" s="357" t="s">
        <v>915</v>
      </c>
      <c r="E38" s="348" t="s">
        <v>916</v>
      </c>
      <c r="F38" s="349" t="s">
        <v>464</v>
      </c>
      <c r="G38" s="364" t="s">
        <v>1311</v>
      </c>
      <c r="H38" s="679"/>
      <c r="I38" s="675"/>
      <c r="J38" s="675"/>
      <c r="K38" s="675">
        <v>20</v>
      </c>
      <c r="L38" s="676">
        <v>0</v>
      </c>
      <c r="M38" s="674"/>
      <c r="N38" s="357"/>
      <c r="O38" s="357"/>
      <c r="P38" s="357"/>
      <c r="Q38" s="357"/>
      <c r="R38" s="677"/>
      <c r="S38" s="678">
        <f t="shared" si="1"/>
        <v>0</v>
      </c>
      <c r="T38" s="678">
        <f t="shared" si="1"/>
        <v>0</v>
      </c>
      <c r="U38" s="678">
        <f t="shared" si="4"/>
        <v>0</v>
      </c>
      <c r="V38" s="678">
        <f t="shared" si="5"/>
        <v>20</v>
      </c>
      <c r="W38" s="678">
        <f t="shared" si="6"/>
        <v>0</v>
      </c>
      <c r="X38" s="346"/>
    </row>
    <row r="39" spans="1:24" s="344" customFormat="1" ht="11.25" customHeight="1" x14ac:dyDescent="0.25">
      <c r="A39" s="347" t="s">
        <v>378</v>
      </c>
      <c r="B39" s="348" t="s">
        <v>1313</v>
      </c>
      <c r="C39" s="348" t="s">
        <v>480</v>
      </c>
      <c r="D39" s="357" t="s">
        <v>1320</v>
      </c>
      <c r="E39" s="348" t="s">
        <v>119</v>
      </c>
      <c r="F39" s="349" t="s">
        <v>464</v>
      </c>
      <c r="G39" s="364" t="s">
        <v>1311</v>
      </c>
      <c r="H39" s="674">
        <v>62</v>
      </c>
      <c r="I39" s="357">
        <v>62</v>
      </c>
      <c r="J39" s="696"/>
      <c r="K39" s="675">
        <v>0</v>
      </c>
      <c r="L39" s="676">
        <v>0</v>
      </c>
      <c r="M39" s="674"/>
      <c r="N39" s="357"/>
      <c r="O39" s="357"/>
      <c r="P39" s="357"/>
      <c r="Q39" s="357"/>
      <c r="R39" s="677"/>
      <c r="S39" s="678">
        <f t="shared" si="1"/>
        <v>62</v>
      </c>
      <c r="T39" s="678">
        <f t="shared" si="1"/>
        <v>62</v>
      </c>
      <c r="U39" s="678">
        <f t="shared" si="4"/>
        <v>0</v>
      </c>
      <c r="V39" s="678">
        <f t="shared" si="5"/>
        <v>0</v>
      </c>
      <c r="W39" s="678">
        <f t="shared" si="6"/>
        <v>0</v>
      </c>
      <c r="X39" s="346"/>
    </row>
    <row r="40" spans="1:24" s="344" customFormat="1" ht="11.25" customHeight="1" x14ac:dyDescent="0.25">
      <c r="A40" s="347" t="s">
        <v>378</v>
      </c>
      <c r="B40" s="348" t="s">
        <v>1313</v>
      </c>
      <c r="C40" s="348" t="s">
        <v>480</v>
      </c>
      <c r="D40" s="556" t="s">
        <v>1157</v>
      </c>
      <c r="E40" s="348" t="s">
        <v>1165</v>
      </c>
      <c r="F40" s="349" t="s">
        <v>464</v>
      </c>
      <c r="G40" s="364"/>
      <c r="H40" s="674"/>
      <c r="I40" s="357"/>
      <c r="J40" s="675"/>
      <c r="K40" s="675"/>
      <c r="L40" s="676"/>
      <c r="M40" s="674"/>
      <c r="N40" s="357"/>
      <c r="O40" s="357"/>
      <c r="P40" s="357"/>
      <c r="Q40" s="357"/>
      <c r="R40" s="677"/>
      <c r="S40" s="678"/>
      <c r="T40" s="678"/>
      <c r="U40" s="678"/>
      <c r="V40" s="678"/>
      <c r="W40" s="678">
        <f t="shared" si="6"/>
        <v>0</v>
      </c>
      <c r="X40" s="346"/>
    </row>
    <row r="41" spans="1:24" s="344" customFormat="1" ht="11.25" customHeight="1" x14ac:dyDescent="0.25">
      <c r="A41" s="347" t="s">
        <v>378</v>
      </c>
      <c r="B41" s="348" t="s">
        <v>424</v>
      </c>
      <c r="C41" s="348" t="s">
        <v>480</v>
      </c>
      <c r="D41" s="357" t="s">
        <v>88</v>
      </c>
      <c r="E41" s="348" t="s">
        <v>87</v>
      </c>
      <c r="F41" s="349" t="s">
        <v>464</v>
      </c>
      <c r="G41" s="364" t="s">
        <v>1311</v>
      </c>
      <c r="H41" s="679">
        <v>13</v>
      </c>
      <c r="I41" s="357">
        <v>13</v>
      </c>
      <c r="J41" s="675">
        <v>0</v>
      </c>
      <c r="K41" s="675">
        <v>20</v>
      </c>
      <c r="L41" s="676"/>
      <c r="M41" s="674"/>
      <c r="N41" s="357"/>
      <c r="O41" s="357"/>
      <c r="P41" s="357"/>
      <c r="Q41" s="357"/>
      <c r="R41" s="677"/>
      <c r="S41" s="678">
        <f t="shared" si="1"/>
        <v>13</v>
      </c>
      <c r="T41" s="678">
        <f t="shared" si="1"/>
        <v>13</v>
      </c>
      <c r="U41" s="678">
        <f t="shared" si="4"/>
        <v>0</v>
      </c>
      <c r="V41" s="678">
        <f t="shared" si="5"/>
        <v>20</v>
      </c>
      <c r="W41" s="678">
        <f t="shared" si="6"/>
        <v>0</v>
      </c>
      <c r="X41" s="346" t="s">
        <v>1309</v>
      </c>
    </row>
    <row r="42" spans="1:24" s="344" customFormat="1" ht="11.25" customHeight="1" x14ac:dyDescent="0.25">
      <c r="A42" s="347" t="s">
        <v>378</v>
      </c>
      <c r="B42" s="348" t="s">
        <v>424</v>
      </c>
      <c r="C42" s="348" t="s">
        <v>480</v>
      </c>
      <c r="D42" s="357" t="s">
        <v>1159</v>
      </c>
      <c r="E42" s="348" t="s">
        <v>1162</v>
      </c>
      <c r="F42" s="349" t="s">
        <v>464</v>
      </c>
      <c r="G42" s="500" t="s">
        <v>1311</v>
      </c>
      <c r="H42" s="679">
        <v>6</v>
      </c>
      <c r="I42" s="675">
        <v>6</v>
      </c>
      <c r="J42" s="675">
        <v>16</v>
      </c>
      <c r="K42" s="675">
        <v>0</v>
      </c>
      <c r="L42" s="676">
        <v>0</v>
      </c>
      <c r="M42" s="674"/>
      <c r="N42" s="357"/>
      <c r="O42" s="357">
        <v>16</v>
      </c>
      <c r="P42" s="357"/>
      <c r="Q42" s="357"/>
      <c r="R42" s="677" t="s">
        <v>1633</v>
      </c>
      <c r="S42" s="678">
        <f t="shared" si="1"/>
        <v>6</v>
      </c>
      <c r="T42" s="678">
        <f t="shared" si="1"/>
        <v>6</v>
      </c>
      <c r="U42" s="678">
        <f t="shared" si="4"/>
        <v>0</v>
      </c>
      <c r="V42" s="678">
        <f t="shared" si="5"/>
        <v>0</v>
      </c>
      <c r="W42" s="678">
        <f t="shared" si="6"/>
        <v>0</v>
      </c>
      <c r="X42" s="346"/>
    </row>
    <row r="43" spans="1:24" s="344" customFormat="1" ht="11.25" customHeight="1" x14ac:dyDescent="0.25">
      <c r="A43" s="350" t="s">
        <v>3</v>
      </c>
      <c r="B43" s="351"/>
      <c r="C43" s="351"/>
      <c r="D43" s="352"/>
      <c r="E43" s="353"/>
      <c r="F43" s="354"/>
      <c r="G43" s="507"/>
      <c r="H43" s="355">
        <f t="shared" ref="H43:W43" si="7">SUM(H22:H42)</f>
        <v>99</v>
      </c>
      <c r="I43" s="355">
        <f t="shared" si="7"/>
        <v>152</v>
      </c>
      <c r="J43" s="355">
        <f t="shared" si="7"/>
        <v>78</v>
      </c>
      <c r="K43" s="355">
        <f t="shared" si="7"/>
        <v>141</v>
      </c>
      <c r="L43" s="355">
        <f t="shared" si="7"/>
        <v>0</v>
      </c>
      <c r="M43" s="355">
        <f t="shared" si="7"/>
        <v>5</v>
      </c>
      <c r="N43" s="355">
        <f t="shared" si="7"/>
        <v>53</v>
      </c>
      <c r="O43" s="355">
        <f t="shared" si="7"/>
        <v>26</v>
      </c>
      <c r="P43" s="355">
        <f t="shared" si="7"/>
        <v>41</v>
      </c>
      <c r="Q43" s="355">
        <f t="shared" si="7"/>
        <v>0</v>
      </c>
      <c r="R43" s="355">
        <f t="shared" si="7"/>
        <v>0</v>
      </c>
      <c r="S43" s="355">
        <f t="shared" si="7"/>
        <v>94</v>
      </c>
      <c r="T43" s="355">
        <f t="shared" si="7"/>
        <v>99</v>
      </c>
      <c r="U43" s="355">
        <f t="shared" si="7"/>
        <v>52</v>
      </c>
      <c r="V43" s="355">
        <f t="shared" si="7"/>
        <v>100</v>
      </c>
      <c r="W43" s="355">
        <f t="shared" si="7"/>
        <v>0</v>
      </c>
      <c r="X43" s="346"/>
    </row>
    <row r="44" spans="1:24" s="361" customFormat="1" ht="11.25" customHeight="1" x14ac:dyDescent="0.25">
      <c r="A44" s="347" t="s">
        <v>1321</v>
      </c>
      <c r="B44" s="348" t="s">
        <v>424</v>
      </c>
      <c r="C44" s="348" t="s">
        <v>719</v>
      </c>
      <c r="D44" s="348" t="s">
        <v>1381</v>
      </c>
      <c r="E44" s="348" t="s">
        <v>1044</v>
      </c>
      <c r="F44" s="349" t="s">
        <v>464</v>
      </c>
      <c r="G44" s="498" t="s">
        <v>1271</v>
      </c>
      <c r="H44" s="680">
        <v>7</v>
      </c>
      <c r="I44" s="681">
        <v>7</v>
      </c>
      <c r="J44" s="681">
        <v>0</v>
      </c>
      <c r="K44" s="681">
        <v>0</v>
      </c>
      <c r="L44" s="682">
        <v>0</v>
      </c>
      <c r="M44" s="674"/>
      <c r="N44" s="357"/>
      <c r="O44" s="357"/>
      <c r="P44" s="357"/>
      <c r="Q44" s="357"/>
      <c r="R44" s="677"/>
      <c r="S44" s="678">
        <f t="shared" si="1"/>
        <v>7</v>
      </c>
      <c r="T44" s="678">
        <f t="shared" si="1"/>
        <v>7</v>
      </c>
      <c r="U44" s="678">
        <f t="shared" si="4"/>
        <v>0</v>
      </c>
      <c r="V44" s="678">
        <f t="shared" si="5"/>
        <v>0</v>
      </c>
      <c r="W44" s="678">
        <f t="shared" si="6"/>
        <v>0</v>
      </c>
      <c r="X44" s="360"/>
    </row>
    <row r="45" spans="1:24" s="361" customFormat="1" ht="11.25" customHeight="1" x14ac:dyDescent="0.25">
      <c r="A45" s="350" t="s">
        <v>3</v>
      </c>
      <c r="B45" s="351"/>
      <c r="C45" s="351"/>
      <c r="D45" s="352"/>
      <c r="E45" s="353"/>
      <c r="F45" s="354"/>
      <c r="G45" s="507"/>
      <c r="H45" s="355">
        <f>SUM(H44)</f>
        <v>7</v>
      </c>
      <c r="I45" s="355">
        <f t="shared" ref="I45:W45" si="8">SUM(I44)</f>
        <v>7</v>
      </c>
      <c r="J45" s="355">
        <f t="shared" si="8"/>
        <v>0</v>
      </c>
      <c r="K45" s="355">
        <f t="shared" si="8"/>
        <v>0</v>
      </c>
      <c r="L45" s="355">
        <f t="shared" si="8"/>
        <v>0</v>
      </c>
      <c r="M45" s="355">
        <f t="shared" si="8"/>
        <v>0</v>
      </c>
      <c r="N45" s="355">
        <f t="shared" si="8"/>
        <v>0</v>
      </c>
      <c r="O45" s="355">
        <f t="shared" si="8"/>
        <v>0</v>
      </c>
      <c r="P45" s="355">
        <f t="shared" si="8"/>
        <v>0</v>
      </c>
      <c r="Q45" s="355">
        <f t="shared" si="8"/>
        <v>0</v>
      </c>
      <c r="R45" s="355">
        <f t="shared" si="8"/>
        <v>0</v>
      </c>
      <c r="S45" s="355">
        <f t="shared" si="8"/>
        <v>7</v>
      </c>
      <c r="T45" s="355">
        <f t="shared" si="8"/>
        <v>7</v>
      </c>
      <c r="U45" s="355">
        <f t="shared" si="8"/>
        <v>0</v>
      </c>
      <c r="V45" s="355">
        <f t="shared" si="8"/>
        <v>0</v>
      </c>
      <c r="W45" s="355">
        <f t="shared" si="8"/>
        <v>0</v>
      </c>
      <c r="X45" s="360"/>
    </row>
    <row r="46" spans="1:24" s="344" customFormat="1" ht="11.25" customHeight="1" x14ac:dyDescent="0.25">
      <c r="A46" s="347" t="s">
        <v>1321</v>
      </c>
      <c r="B46" s="348" t="s">
        <v>1336</v>
      </c>
      <c r="C46" s="348" t="s">
        <v>1201</v>
      </c>
      <c r="D46" s="348" t="s">
        <v>1198</v>
      </c>
      <c r="E46" s="348"/>
      <c r="F46" s="349"/>
      <c r="G46" s="364"/>
      <c r="H46" s="680">
        <v>0</v>
      </c>
      <c r="I46" s="681">
        <v>0</v>
      </c>
      <c r="J46" s="681"/>
      <c r="K46" s="681"/>
      <c r="L46" s="682"/>
      <c r="M46" s="674"/>
      <c r="N46" s="357"/>
      <c r="O46" s="357"/>
      <c r="P46" s="357"/>
      <c r="Q46" s="357"/>
      <c r="R46" s="677"/>
      <c r="S46" s="678">
        <f t="shared" si="1"/>
        <v>0</v>
      </c>
      <c r="T46" s="678">
        <f t="shared" si="1"/>
        <v>0</v>
      </c>
      <c r="U46" s="678">
        <f t="shared" si="4"/>
        <v>0</v>
      </c>
      <c r="V46" s="678">
        <f t="shared" si="5"/>
        <v>0</v>
      </c>
      <c r="W46" s="678">
        <f t="shared" si="6"/>
        <v>0</v>
      </c>
      <c r="X46" s="346"/>
    </row>
    <row r="47" spans="1:24" s="361" customFormat="1" ht="11.25" customHeight="1" x14ac:dyDescent="0.25">
      <c r="A47" s="350" t="s">
        <v>3</v>
      </c>
      <c r="B47" s="351"/>
      <c r="C47" s="351"/>
      <c r="D47" s="352"/>
      <c r="E47" s="353"/>
      <c r="F47" s="354"/>
      <c r="G47" s="507"/>
      <c r="H47" s="355">
        <f t="shared" ref="H47:R47" si="9">SUM(H46)</f>
        <v>0</v>
      </c>
      <c r="I47" s="353">
        <f t="shared" si="9"/>
        <v>0</v>
      </c>
      <c r="J47" s="353">
        <f t="shared" si="9"/>
        <v>0</v>
      </c>
      <c r="K47" s="353">
        <f t="shared" si="9"/>
        <v>0</v>
      </c>
      <c r="L47" s="356">
        <f t="shared" si="9"/>
        <v>0</v>
      </c>
      <c r="M47" s="355">
        <f t="shared" si="9"/>
        <v>0</v>
      </c>
      <c r="N47" s="353">
        <f t="shared" si="9"/>
        <v>0</v>
      </c>
      <c r="O47" s="353">
        <f t="shared" si="9"/>
        <v>0</v>
      </c>
      <c r="P47" s="353">
        <f t="shared" si="9"/>
        <v>0</v>
      </c>
      <c r="Q47" s="353">
        <f t="shared" si="9"/>
        <v>0</v>
      </c>
      <c r="R47" s="356">
        <f t="shared" si="9"/>
        <v>0</v>
      </c>
      <c r="S47" s="509">
        <f t="shared" si="1"/>
        <v>0</v>
      </c>
      <c r="T47" s="509">
        <f t="shared" si="1"/>
        <v>0</v>
      </c>
      <c r="U47" s="509">
        <f t="shared" si="4"/>
        <v>0</v>
      </c>
      <c r="V47" s="509">
        <f t="shared" si="5"/>
        <v>0</v>
      </c>
      <c r="W47" s="509">
        <f t="shared" si="6"/>
        <v>0</v>
      </c>
      <c r="X47" s="360"/>
    </row>
    <row r="48" spans="1:24" s="344" customFormat="1" ht="11.25" customHeight="1" x14ac:dyDescent="0.25">
      <c r="A48" s="347" t="s">
        <v>1321</v>
      </c>
      <c r="B48" s="348" t="s">
        <v>424</v>
      </c>
      <c r="C48" s="357" t="s">
        <v>146</v>
      </c>
      <c r="D48" s="357" t="s">
        <v>367</v>
      </c>
      <c r="E48" s="348" t="s">
        <v>381</v>
      </c>
      <c r="F48" s="349" t="s">
        <v>464</v>
      </c>
      <c r="G48" s="500"/>
      <c r="H48" s="679"/>
      <c r="I48" s="675"/>
      <c r="J48" s="675">
        <v>20</v>
      </c>
      <c r="K48" s="357">
        <v>20</v>
      </c>
      <c r="L48" s="676">
        <v>0</v>
      </c>
      <c r="M48" s="674"/>
      <c r="N48" s="357"/>
      <c r="O48" s="357"/>
      <c r="P48" s="357"/>
      <c r="Q48" s="357"/>
      <c r="R48" s="677"/>
      <c r="S48" s="678">
        <f t="shared" si="1"/>
        <v>0</v>
      </c>
      <c r="T48" s="678">
        <f t="shared" si="1"/>
        <v>0</v>
      </c>
      <c r="U48" s="678">
        <f t="shared" si="4"/>
        <v>20</v>
      </c>
      <c r="V48" s="678">
        <f t="shared" si="5"/>
        <v>20</v>
      </c>
      <c r="W48" s="678">
        <f t="shared" si="6"/>
        <v>0</v>
      </c>
      <c r="X48" s="346"/>
    </row>
    <row r="49" spans="1:24" s="344" customFormat="1" ht="11.25" customHeight="1" x14ac:dyDescent="0.25">
      <c r="A49" s="347" t="s">
        <v>1321</v>
      </c>
      <c r="B49" s="348" t="s">
        <v>424</v>
      </c>
      <c r="C49" s="357" t="s">
        <v>146</v>
      </c>
      <c r="D49" s="357" t="s">
        <v>1233</v>
      </c>
      <c r="E49" s="348" t="s">
        <v>1232</v>
      </c>
      <c r="F49" s="349" t="s">
        <v>464</v>
      </c>
      <c r="G49" s="500" t="s">
        <v>1311</v>
      </c>
      <c r="H49" s="679"/>
      <c r="I49" s="675"/>
      <c r="J49" s="675">
        <v>0</v>
      </c>
      <c r="K49" s="357">
        <v>0</v>
      </c>
      <c r="L49" s="676"/>
      <c r="M49" s="674"/>
      <c r="N49" s="357"/>
      <c r="O49" s="357"/>
      <c r="P49" s="357"/>
      <c r="Q49" s="357"/>
      <c r="R49" s="677"/>
      <c r="S49" s="678">
        <f t="shared" si="1"/>
        <v>0</v>
      </c>
      <c r="T49" s="678">
        <f t="shared" si="1"/>
        <v>0</v>
      </c>
      <c r="U49" s="678">
        <f t="shared" si="4"/>
        <v>0</v>
      </c>
      <c r="V49" s="678">
        <f t="shared" si="5"/>
        <v>0</v>
      </c>
      <c r="W49" s="678">
        <f t="shared" si="6"/>
        <v>0</v>
      </c>
      <c r="X49" s="346" t="s">
        <v>1323</v>
      </c>
    </row>
    <row r="50" spans="1:24" s="344" customFormat="1" ht="11.25" customHeight="1" x14ac:dyDescent="0.25">
      <c r="A50" s="347" t="s">
        <v>1321</v>
      </c>
      <c r="B50" s="348" t="s">
        <v>1324</v>
      </c>
      <c r="C50" s="357" t="s">
        <v>146</v>
      </c>
      <c r="D50" s="357" t="s">
        <v>1325</v>
      </c>
      <c r="E50" s="348" t="s">
        <v>382</v>
      </c>
      <c r="F50" s="349" t="s">
        <v>464</v>
      </c>
      <c r="G50" s="365"/>
      <c r="H50" s="679">
        <v>29</v>
      </c>
      <c r="I50" s="675">
        <v>29</v>
      </c>
      <c r="J50" s="675">
        <v>0</v>
      </c>
      <c r="K50" s="675"/>
      <c r="L50" s="676">
        <v>0</v>
      </c>
      <c r="M50" s="674"/>
      <c r="N50" s="357"/>
      <c r="O50" s="357"/>
      <c r="P50" s="357"/>
      <c r="Q50" s="357"/>
      <c r="R50" s="677"/>
      <c r="S50" s="678">
        <f t="shared" si="1"/>
        <v>29</v>
      </c>
      <c r="T50" s="678">
        <f t="shared" si="1"/>
        <v>29</v>
      </c>
      <c r="U50" s="678">
        <f t="shared" si="4"/>
        <v>0</v>
      </c>
      <c r="V50" s="678">
        <f t="shared" si="5"/>
        <v>0</v>
      </c>
      <c r="W50" s="678">
        <f t="shared" si="6"/>
        <v>0</v>
      </c>
      <c r="X50" s="346"/>
    </row>
    <row r="51" spans="1:24" s="344" customFormat="1" ht="11.25" customHeight="1" x14ac:dyDescent="0.25">
      <c r="A51" s="347" t="s">
        <v>1321</v>
      </c>
      <c r="B51" s="348" t="s">
        <v>424</v>
      </c>
      <c r="C51" s="357" t="s">
        <v>146</v>
      </c>
      <c r="D51" s="348" t="s">
        <v>1650</v>
      </c>
      <c r="E51" s="348" t="s">
        <v>383</v>
      </c>
      <c r="F51" s="349" t="s">
        <v>464</v>
      </c>
      <c r="G51" s="500" t="s">
        <v>1473</v>
      </c>
      <c r="H51" s="674">
        <v>7</v>
      </c>
      <c r="I51" s="357">
        <v>7</v>
      </c>
      <c r="J51" s="675"/>
      <c r="K51" s="357"/>
      <c r="L51" s="676">
        <v>0</v>
      </c>
      <c r="M51" s="674">
        <v>7</v>
      </c>
      <c r="N51" s="357">
        <v>7</v>
      </c>
      <c r="O51" s="357"/>
      <c r="P51" s="357"/>
      <c r="Q51" s="357"/>
      <c r="R51" s="677" t="s">
        <v>1832</v>
      </c>
      <c r="S51" s="678">
        <f t="shared" si="1"/>
        <v>0</v>
      </c>
      <c r="T51" s="678">
        <f t="shared" si="1"/>
        <v>0</v>
      </c>
      <c r="U51" s="678">
        <f t="shared" si="4"/>
        <v>0</v>
      </c>
      <c r="V51" s="678">
        <f t="shared" si="5"/>
        <v>0</v>
      </c>
      <c r="W51" s="678">
        <f t="shared" si="6"/>
        <v>0</v>
      </c>
      <c r="X51" s="346"/>
    </row>
    <row r="52" spans="1:24" s="344" customFormat="1" ht="11.25" customHeight="1" x14ac:dyDescent="0.25">
      <c r="A52" s="347" t="s">
        <v>1321</v>
      </c>
      <c r="B52" s="348" t="s">
        <v>1322</v>
      </c>
      <c r="C52" s="357" t="s">
        <v>146</v>
      </c>
      <c r="D52" s="357" t="s">
        <v>1326</v>
      </c>
      <c r="E52" s="348" t="s">
        <v>1243</v>
      </c>
      <c r="F52" s="349" t="s">
        <v>464</v>
      </c>
      <c r="G52" s="500" t="s">
        <v>1311</v>
      </c>
      <c r="H52" s="674"/>
      <c r="I52" s="357"/>
      <c r="J52" s="675"/>
      <c r="K52" s="357"/>
      <c r="L52" s="676"/>
      <c r="M52" s="674"/>
      <c r="N52" s="357"/>
      <c r="O52" s="357"/>
      <c r="P52" s="357"/>
      <c r="Q52" s="357"/>
      <c r="R52" s="677"/>
      <c r="S52" s="678">
        <f t="shared" si="1"/>
        <v>0</v>
      </c>
      <c r="T52" s="678">
        <f t="shared" si="1"/>
        <v>0</v>
      </c>
      <c r="U52" s="678">
        <f t="shared" si="4"/>
        <v>0</v>
      </c>
      <c r="V52" s="678">
        <f t="shared" si="5"/>
        <v>0</v>
      </c>
      <c r="W52" s="678">
        <f t="shared" si="6"/>
        <v>0</v>
      </c>
      <c r="X52" s="346" t="s">
        <v>1323</v>
      </c>
    </row>
    <row r="53" spans="1:24" s="344" customFormat="1" ht="11.25" customHeight="1" x14ac:dyDescent="0.25">
      <c r="A53" s="347" t="s">
        <v>1321</v>
      </c>
      <c r="B53" s="348" t="s">
        <v>424</v>
      </c>
      <c r="C53" s="357" t="s">
        <v>146</v>
      </c>
      <c r="D53" s="357" t="s">
        <v>1327</v>
      </c>
      <c r="E53" s="348" t="s">
        <v>147</v>
      </c>
      <c r="F53" s="349" t="s">
        <v>464</v>
      </c>
      <c r="G53" s="500"/>
      <c r="H53" s="680"/>
      <c r="I53" s="681">
        <v>0</v>
      </c>
      <c r="J53" s="675">
        <v>0</v>
      </c>
      <c r="K53" s="675">
        <v>20</v>
      </c>
      <c r="L53" s="676">
        <v>0</v>
      </c>
      <c r="M53" s="674"/>
      <c r="N53" s="357"/>
      <c r="O53" s="357"/>
      <c r="P53" s="357"/>
      <c r="Q53" s="357"/>
      <c r="R53" s="677"/>
      <c r="S53" s="678">
        <f t="shared" si="1"/>
        <v>0</v>
      </c>
      <c r="T53" s="678">
        <f t="shared" si="1"/>
        <v>0</v>
      </c>
      <c r="U53" s="678">
        <f t="shared" si="4"/>
        <v>0</v>
      </c>
      <c r="V53" s="678">
        <f t="shared" si="5"/>
        <v>20</v>
      </c>
      <c r="W53" s="678">
        <f t="shared" si="6"/>
        <v>0</v>
      </c>
      <c r="X53" s="346"/>
    </row>
    <row r="54" spans="1:24" s="344" customFormat="1" ht="11.25" customHeight="1" x14ac:dyDescent="0.25">
      <c r="A54" s="347" t="s">
        <v>1321</v>
      </c>
      <c r="B54" s="348" t="s">
        <v>424</v>
      </c>
      <c r="C54" s="357" t="s">
        <v>146</v>
      </c>
      <c r="D54" s="357" t="s">
        <v>149</v>
      </c>
      <c r="E54" s="348" t="s">
        <v>148</v>
      </c>
      <c r="F54" s="349" t="s">
        <v>464</v>
      </c>
      <c r="G54" s="365"/>
      <c r="H54" s="679">
        <v>4</v>
      </c>
      <c r="I54" s="675">
        <v>0</v>
      </c>
      <c r="J54" s="675">
        <v>0</v>
      </c>
      <c r="K54" s="357">
        <v>50</v>
      </c>
      <c r="L54" s="676">
        <v>0</v>
      </c>
      <c r="M54" s="674"/>
      <c r="N54" s="357"/>
      <c r="O54" s="357"/>
      <c r="P54" s="357"/>
      <c r="Q54" s="357"/>
      <c r="R54" s="677"/>
      <c r="S54" s="678">
        <f t="shared" si="1"/>
        <v>4</v>
      </c>
      <c r="T54" s="678">
        <f t="shared" si="1"/>
        <v>0</v>
      </c>
      <c r="U54" s="678">
        <f t="shared" si="4"/>
        <v>0</v>
      </c>
      <c r="V54" s="678">
        <f t="shared" si="5"/>
        <v>50</v>
      </c>
      <c r="W54" s="678">
        <f t="shared" si="6"/>
        <v>0</v>
      </c>
      <c r="X54" s="346"/>
    </row>
    <row r="55" spans="1:24" s="344" customFormat="1" ht="11.25" customHeight="1" x14ac:dyDescent="0.25">
      <c r="A55" s="347" t="s">
        <v>1321</v>
      </c>
      <c r="B55" s="348" t="s">
        <v>424</v>
      </c>
      <c r="C55" s="357" t="s">
        <v>146</v>
      </c>
      <c r="D55" s="348" t="s">
        <v>1651</v>
      </c>
      <c r="E55" s="348" t="s">
        <v>1121</v>
      </c>
      <c r="F55" s="349" t="s">
        <v>464</v>
      </c>
      <c r="G55" s="365"/>
      <c r="H55" s="679">
        <v>35</v>
      </c>
      <c r="I55" s="675">
        <v>35</v>
      </c>
      <c r="J55" s="675"/>
      <c r="K55" s="357">
        <v>82</v>
      </c>
      <c r="L55" s="676"/>
      <c r="M55" s="674">
        <v>35</v>
      </c>
      <c r="N55" s="357">
        <v>35</v>
      </c>
      <c r="O55" s="357"/>
      <c r="P55" s="357">
        <v>82</v>
      </c>
      <c r="Q55" s="357"/>
      <c r="R55" s="677" t="s">
        <v>1830</v>
      </c>
      <c r="S55" s="678">
        <f t="shared" si="1"/>
        <v>0</v>
      </c>
      <c r="T55" s="678">
        <f t="shared" si="1"/>
        <v>0</v>
      </c>
      <c r="U55" s="678">
        <f t="shared" si="4"/>
        <v>0</v>
      </c>
      <c r="V55" s="678">
        <f t="shared" si="5"/>
        <v>0</v>
      </c>
      <c r="W55" s="678">
        <f t="shared" si="6"/>
        <v>0</v>
      </c>
      <c r="X55" s="346"/>
    </row>
    <row r="56" spans="1:24" s="344" customFormat="1" ht="11.25" customHeight="1" x14ac:dyDescent="0.25">
      <c r="A56" s="347" t="s">
        <v>1321</v>
      </c>
      <c r="B56" s="348" t="s">
        <v>1336</v>
      </c>
      <c r="C56" s="357" t="s">
        <v>146</v>
      </c>
      <c r="D56" s="357" t="s">
        <v>1546</v>
      </c>
      <c r="E56" s="348" t="s">
        <v>1568</v>
      </c>
      <c r="F56" s="349" t="s">
        <v>464</v>
      </c>
      <c r="G56" s="365"/>
      <c r="H56" s="679"/>
      <c r="I56" s="675"/>
      <c r="J56" s="675"/>
      <c r="K56" s="357"/>
      <c r="L56" s="676"/>
      <c r="M56" s="674"/>
      <c r="N56" s="357"/>
      <c r="O56" s="357"/>
      <c r="P56" s="357"/>
      <c r="Q56" s="357"/>
      <c r="R56" s="677"/>
      <c r="S56" s="678">
        <f t="shared" si="1"/>
        <v>0</v>
      </c>
      <c r="T56" s="678">
        <f t="shared" si="1"/>
        <v>0</v>
      </c>
      <c r="U56" s="678">
        <f t="shared" si="4"/>
        <v>0</v>
      </c>
      <c r="V56" s="678">
        <f t="shared" si="5"/>
        <v>0</v>
      </c>
      <c r="W56" s="678">
        <f t="shared" si="6"/>
        <v>0</v>
      </c>
      <c r="X56" s="346"/>
    </row>
    <row r="57" spans="1:24" s="344" customFormat="1" ht="11.25" customHeight="1" x14ac:dyDescent="0.25">
      <c r="A57" s="347" t="s">
        <v>1321</v>
      </c>
      <c r="B57" s="348" t="s">
        <v>1336</v>
      </c>
      <c r="C57" s="357" t="s">
        <v>146</v>
      </c>
      <c r="D57" s="357" t="s">
        <v>1082</v>
      </c>
      <c r="E57" s="348" t="s">
        <v>1083</v>
      </c>
      <c r="F57" s="349" t="s">
        <v>464</v>
      </c>
      <c r="G57" s="365"/>
      <c r="H57" s="679"/>
      <c r="I57" s="675"/>
      <c r="J57" s="675"/>
      <c r="K57" s="357"/>
      <c r="L57" s="676"/>
      <c r="M57" s="674"/>
      <c r="N57" s="357"/>
      <c r="O57" s="357"/>
      <c r="P57" s="357"/>
      <c r="Q57" s="357"/>
      <c r="R57" s="677"/>
      <c r="S57" s="678">
        <f t="shared" si="1"/>
        <v>0</v>
      </c>
      <c r="T57" s="678">
        <f t="shared" si="1"/>
        <v>0</v>
      </c>
      <c r="U57" s="678">
        <f t="shared" si="4"/>
        <v>0</v>
      </c>
      <c r="V57" s="678">
        <f t="shared" si="5"/>
        <v>0</v>
      </c>
      <c r="W57" s="678">
        <f t="shared" si="6"/>
        <v>0</v>
      </c>
      <c r="X57" s="346"/>
    </row>
    <row r="58" spans="1:24" s="344" customFormat="1" ht="11.25" customHeight="1" x14ac:dyDescent="0.25">
      <c r="A58" s="347" t="s">
        <v>1321</v>
      </c>
      <c r="B58" s="348" t="s">
        <v>1324</v>
      </c>
      <c r="C58" s="357" t="s">
        <v>146</v>
      </c>
      <c r="D58" s="357" t="s">
        <v>1596</v>
      </c>
      <c r="E58" s="348" t="s">
        <v>1126</v>
      </c>
      <c r="F58" s="349" t="s">
        <v>464</v>
      </c>
      <c r="G58" s="365"/>
      <c r="H58" s="679"/>
      <c r="I58" s="675"/>
      <c r="J58" s="675"/>
      <c r="K58" s="357"/>
      <c r="L58" s="676"/>
      <c r="M58" s="674"/>
      <c r="N58" s="357"/>
      <c r="O58" s="357"/>
      <c r="P58" s="357"/>
      <c r="Q58" s="357"/>
      <c r="R58" s="677"/>
      <c r="S58" s="678">
        <f t="shared" si="1"/>
        <v>0</v>
      </c>
      <c r="T58" s="678">
        <f t="shared" si="1"/>
        <v>0</v>
      </c>
      <c r="U58" s="678">
        <f t="shared" si="4"/>
        <v>0</v>
      </c>
      <c r="V58" s="678">
        <f t="shared" si="5"/>
        <v>0</v>
      </c>
      <c r="W58" s="678">
        <f t="shared" si="6"/>
        <v>0</v>
      </c>
      <c r="X58" s="346"/>
    </row>
    <row r="59" spans="1:24" s="344" customFormat="1" ht="11.25" customHeight="1" x14ac:dyDescent="0.25">
      <c r="A59" s="347" t="s">
        <v>1321</v>
      </c>
      <c r="B59" s="348" t="s">
        <v>424</v>
      </c>
      <c r="C59" s="357" t="s">
        <v>146</v>
      </c>
      <c r="D59" s="357" t="s">
        <v>1328</v>
      </c>
      <c r="E59" s="348" t="s">
        <v>838</v>
      </c>
      <c r="F59" s="349" t="s">
        <v>464</v>
      </c>
      <c r="G59" s="365" t="s">
        <v>1473</v>
      </c>
      <c r="H59" s="674">
        <v>40</v>
      </c>
      <c r="I59" s="357">
        <v>40</v>
      </c>
      <c r="J59" s="675">
        <v>0</v>
      </c>
      <c r="K59" s="675">
        <v>0</v>
      </c>
      <c r="L59" s="676">
        <v>0</v>
      </c>
      <c r="M59" s="674">
        <v>9</v>
      </c>
      <c r="N59" s="357">
        <v>9</v>
      </c>
      <c r="O59" s="357"/>
      <c r="P59" s="357"/>
      <c r="Q59" s="357"/>
      <c r="R59" s="677" t="s">
        <v>778</v>
      </c>
      <c r="S59" s="678">
        <f t="shared" si="1"/>
        <v>31</v>
      </c>
      <c r="T59" s="678">
        <f t="shared" si="1"/>
        <v>31</v>
      </c>
      <c r="U59" s="678">
        <f t="shared" si="4"/>
        <v>0</v>
      </c>
      <c r="V59" s="678">
        <f t="shared" si="5"/>
        <v>0</v>
      </c>
      <c r="W59" s="678">
        <f t="shared" si="6"/>
        <v>0</v>
      </c>
      <c r="X59" s="346"/>
    </row>
    <row r="60" spans="1:24" s="344" customFormat="1" ht="11.25" customHeight="1" x14ac:dyDescent="0.25">
      <c r="A60" s="347" t="s">
        <v>1321</v>
      </c>
      <c r="B60" s="348" t="s">
        <v>1324</v>
      </c>
      <c r="C60" s="357" t="s">
        <v>146</v>
      </c>
      <c r="D60" s="357" t="s">
        <v>943</v>
      </c>
      <c r="E60" s="348" t="s">
        <v>942</v>
      </c>
      <c r="F60" s="349" t="s">
        <v>464</v>
      </c>
      <c r="G60" s="498"/>
      <c r="H60" s="680"/>
      <c r="I60" s="681"/>
      <c r="J60" s="681">
        <v>0</v>
      </c>
      <c r="K60" s="681">
        <v>10</v>
      </c>
      <c r="L60" s="682"/>
      <c r="M60" s="674"/>
      <c r="N60" s="357"/>
      <c r="O60" s="357"/>
      <c r="P60" s="357">
        <v>10</v>
      </c>
      <c r="Q60" s="357"/>
      <c r="R60" s="677" t="s">
        <v>1620</v>
      </c>
      <c r="S60" s="678">
        <f t="shared" si="1"/>
        <v>0</v>
      </c>
      <c r="T60" s="678">
        <f t="shared" si="1"/>
        <v>0</v>
      </c>
      <c r="U60" s="678">
        <f t="shared" si="4"/>
        <v>0</v>
      </c>
      <c r="V60" s="678">
        <f t="shared" si="5"/>
        <v>0</v>
      </c>
      <c r="W60" s="678">
        <f t="shared" si="6"/>
        <v>0</v>
      </c>
      <c r="X60" s="346"/>
    </row>
    <row r="61" spans="1:24" s="344" customFormat="1" ht="11.25" customHeight="1" x14ac:dyDescent="0.25">
      <c r="A61" s="350" t="s">
        <v>3</v>
      </c>
      <c r="B61" s="351"/>
      <c r="C61" s="351"/>
      <c r="D61" s="352"/>
      <c r="E61" s="353"/>
      <c r="F61" s="354"/>
      <c r="G61" s="507"/>
      <c r="H61" s="355">
        <f t="shared" ref="H61:W61" si="10">SUM(H48:H60)</f>
        <v>115</v>
      </c>
      <c r="I61" s="355">
        <f t="shared" si="10"/>
        <v>111</v>
      </c>
      <c r="J61" s="355">
        <f t="shared" si="10"/>
        <v>20</v>
      </c>
      <c r="K61" s="355">
        <f t="shared" si="10"/>
        <v>182</v>
      </c>
      <c r="L61" s="355">
        <f t="shared" si="10"/>
        <v>0</v>
      </c>
      <c r="M61" s="355">
        <f t="shared" si="10"/>
        <v>51</v>
      </c>
      <c r="N61" s="355">
        <f t="shared" si="10"/>
        <v>51</v>
      </c>
      <c r="O61" s="355">
        <f t="shared" si="10"/>
        <v>0</v>
      </c>
      <c r="P61" s="355">
        <f t="shared" si="10"/>
        <v>92</v>
      </c>
      <c r="Q61" s="355">
        <f t="shared" si="10"/>
        <v>0</v>
      </c>
      <c r="R61" s="355">
        <f t="shared" si="10"/>
        <v>0</v>
      </c>
      <c r="S61" s="355">
        <f t="shared" si="10"/>
        <v>64</v>
      </c>
      <c r="T61" s="355">
        <f t="shared" si="10"/>
        <v>60</v>
      </c>
      <c r="U61" s="355">
        <f t="shared" si="10"/>
        <v>20</v>
      </c>
      <c r="V61" s="355">
        <f t="shared" si="10"/>
        <v>90</v>
      </c>
      <c r="W61" s="355">
        <f t="shared" si="10"/>
        <v>0</v>
      </c>
      <c r="X61" s="346"/>
    </row>
    <row r="62" spans="1:24" s="344" customFormat="1" ht="11.25" customHeight="1" x14ac:dyDescent="0.25">
      <c r="A62" s="347" t="s">
        <v>378</v>
      </c>
      <c r="B62" s="348" t="s">
        <v>1307</v>
      </c>
      <c r="C62" s="348" t="s">
        <v>151</v>
      </c>
      <c r="D62" s="362" t="s">
        <v>1329</v>
      </c>
      <c r="E62" s="358" t="s">
        <v>187</v>
      </c>
      <c r="F62" s="363" t="s">
        <v>466</v>
      </c>
      <c r="G62" s="501"/>
      <c r="H62" s="695"/>
      <c r="I62" s="357">
        <v>0</v>
      </c>
      <c r="J62" s="696">
        <v>0</v>
      </c>
      <c r="K62" s="696">
        <v>0</v>
      </c>
      <c r="L62" s="676"/>
      <c r="M62" s="674"/>
      <c r="N62" s="357"/>
      <c r="O62" s="357"/>
      <c r="P62" s="357"/>
      <c r="Q62" s="357"/>
      <c r="R62" s="677"/>
      <c r="S62" s="678">
        <f t="shared" si="1"/>
        <v>0</v>
      </c>
      <c r="T62" s="678">
        <f t="shared" si="1"/>
        <v>0</v>
      </c>
      <c r="U62" s="678">
        <f t="shared" si="4"/>
        <v>0</v>
      </c>
      <c r="V62" s="678">
        <f t="shared" si="5"/>
        <v>0</v>
      </c>
      <c r="W62" s="678">
        <f t="shared" si="6"/>
        <v>0</v>
      </c>
      <c r="X62" s="346"/>
    </row>
    <row r="63" spans="1:24" s="344" customFormat="1" ht="11.25" customHeight="1" x14ac:dyDescent="0.25">
      <c r="A63" s="347" t="s">
        <v>378</v>
      </c>
      <c r="B63" s="348" t="s">
        <v>424</v>
      </c>
      <c r="C63" s="348" t="s">
        <v>151</v>
      </c>
      <c r="D63" s="357" t="s">
        <v>1330</v>
      </c>
      <c r="E63" s="348" t="s">
        <v>812</v>
      </c>
      <c r="F63" s="349" t="s">
        <v>464</v>
      </c>
      <c r="G63" s="498" t="s">
        <v>1473</v>
      </c>
      <c r="H63" s="679">
        <v>30</v>
      </c>
      <c r="I63" s="357">
        <v>30</v>
      </c>
      <c r="J63" s="675">
        <v>0</v>
      </c>
      <c r="K63" s="675">
        <v>0</v>
      </c>
      <c r="L63" s="676">
        <v>0</v>
      </c>
      <c r="M63" s="674">
        <v>30</v>
      </c>
      <c r="N63" s="357">
        <v>30</v>
      </c>
      <c r="O63" s="357"/>
      <c r="P63" s="357"/>
      <c r="Q63" s="357"/>
      <c r="R63" s="677" t="s">
        <v>1633</v>
      </c>
      <c r="S63" s="678">
        <f t="shared" si="1"/>
        <v>0</v>
      </c>
      <c r="T63" s="678">
        <f t="shared" si="1"/>
        <v>0</v>
      </c>
      <c r="U63" s="678">
        <f t="shared" si="4"/>
        <v>0</v>
      </c>
      <c r="V63" s="678">
        <f t="shared" si="5"/>
        <v>0</v>
      </c>
      <c r="W63" s="678">
        <f t="shared" si="6"/>
        <v>0</v>
      </c>
      <c r="X63" s="346"/>
    </row>
    <row r="64" spans="1:24" s="344" customFormat="1" ht="11.25" customHeight="1" x14ac:dyDescent="0.25">
      <c r="A64" s="347" t="s">
        <v>378</v>
      </c>
      <c r="B64" s="348" t="s">
        <v>1307</v>
      </c>
      <c r="C64" s="348" t="s">
        <v>151</v>
      </c>
      <c r="D64" s="357" t="s">
        <v>847</v>
      </c>
      <c r="E64" s="348" t="s">
        <v>846</v>
      </c>
      <c r="F64" s="349" t="s">
        <v>464</v>
      </c>
      <c r="G64" s="498"/>
      <c r="H64" s="679">
        <v>0</v>
      </c>
      <c r="I64" s="675">
        <v>0</v>
      </c>
      <c r="J64" s="696">
        <v>0</v>
      </c>
      <c r="K64" s="696"/>
      <c r="L64" s="676">
        <v>0</v>
      </c>
      <c r="M64" s="674"/>
      <c r="N64" s="357"/>
      <c r="O64" s="357"/>
      <c r="P64" s="357"/>
      <c r="Q64" s="357"/>
      <c r="R64" s="677"/>
      <c r="S64" s="678">
        <f t="shared" si="1"/>
        <v>0</v>
      </c>
      <c r="T64" s="678">
        <f t="shared" si="1"/>
        <v>0</v>
      </c>
      <c r="U64" s="678">
        <f t="shared" si="4"/>
        <v>0</v>
      </c>
      <c r="V64" s="678">
        <f t="shared" si="5"/>
        <v>0</v>
      </c>
      <c r="W64" s="678">
        <f t="shared" si="6"/>
        <v>0</v>
      </c>
      <c r="X64" s="346" t="s">
        <v>1331</v>
      </c>
    </row>
    <row r="65" spans="1:24" s="344" customFormat="1" ht="11.25" customHeight="1" x14ac:dyDescent="0.25">
      <c r="A65" s="347" t="s">
        <v>378</v>
      </c>
      <c r="B65" s="348" t="s">
        <v>424</v>
      </c>
      <c r="C65" s="348" t="s">
        <v>151</v>
      </c>
      <c r="D65" s="357" t="s">
        <v>160</v>
      </c>
      <c r="E65" s="348" t="s">
        <v>159</v>
      </c>
      <c r="F65" s="349" t="s">
        <v>464</v>
      </c>
      <c r="G65" s="498" t="s">
        <v>1271</v>
      </c>
      <c r="H65" s="674">
        <v>21</v>
      </c>
      <c r="I65" s="357">
        <v>100</v>
      </c>
      <c r="J65" s="357">
        <v>106</v>
      </c>
      <c r="K65" s="675">
        <v>0</v>
      </c>
      <c r="L65" s="676">
        <v>1</v>
      </c>
      <c r="M65" s="674"/>
      <c r="N65" s="357"/>
      <c r="O65" s="357"/>
      <c r="P65" s="357"/>
      <c r="Q65" s="357"/>
      <c r="R65" s="677"/>
      <c r="S65" s="678">
        <f t="shared" si="1"/>
        <v>21</v>
      </c>
      <c r="T65" s="678">
        <f t="shared" si="1"/>
        <v>100</v>
      </c>
      <c r="U65" s="678">
        <f t="shared" si="4"/>
        <v>106</v>
      </c>
      <c r="V65" s="678">
        <f t="shared" si="5"/>
        <v>0</v>
      </c>
      <c r="W65" s="678">
        <f t="shared" si="6"/>
        <v>1</v>
      </c>
      <c r="X65" s="346"/>
    </row>
    <row r="66" spans="1:24" s="344" customFormat="1" ht="11.25" customHeight="1" x14ac:dyDescent="0.25">
      <c r="A66" s="347" t="s">
        <v>378</v>
      </c>
      <c r="B66" s="348" t="s">
        <v>1307</v>
      </c>
      <c r="C66" s="348" t="s">
        <v>151</v>
      </c>
      <c r="D66" s="357" t="s">
        <v>1332</v>
      </c>
      <c r="E66" s="348" t="s">
        <v>153</v>
      </c>
      <c r="F66" s="349" t="s">
        <v>464</v>
      </c>
      <c r="G66" s="498"/>
      <c r="H66" s="674">
        <v>200</v>
      </c>
      <c r="I66" s="357">
        <v>200</v>
      </c>
      <c r="J66" s="675">
        <v>0</v>
      </c>
      <c r="K66" s="357">
        <v>0</v>
      </c>
      <c r="L66" s="676">
        <v>0</v>
      </c>
      <c r="M66" s="674">
        <v>200</v>
      </c>
      <c r="N66" s="357">
        <v>200</v>
      </c>
      <c r="O66" s="357"/>
      <c r="P66" s="357"/>
      <c r="Q66" s="357"/>
      <c r="R66" s="677" t="s">
        <v>1585</v>
      </c>
      <c r="S66" s="678">
        <f t="shared" si="1"/>
        <v>0</v>
      </c>
      <c r="T66" s="678">
        <f t="shared" si="1"/>
        <v>0</v>
      </c>
      <c r="U66" s="678">
        <f t="shared" si="4"/>
        <v>0</v>
      </c>
      <c r="V66" s="678">
        <f t="shared" si="5"/>
        <v>0</v>
      </c>
      <c r="W66" s="678" t="s">
        <v>1586</v>
      </c>
      <c r="X66" s="346" t="s">
        <v>1599</v>
      </c>
    </row>
    <row r="67" spans="1:24" s="344" customFormat="1" ht="11.25" customHeight="1" x14ac:dyDescent="0.25">
      <c r="A67" s="347" t="s">
        <v>378</v>
      </c>
      <c r="B67" s="348" t="s">
        <v>1307</v>
      </c>
      <c r="C67" s="348" t="s">
        <v>151</v>
      </c>
      <c r="D67" s="357" t="s">
        <v>1333</v>
      </c>
      <c r="E67" s="348" t="s">
        <v>912</v>
      </c>
      <c r="F67" s="349" t="s">
        <v>464</v>
      </c>
      <c r="G67" s="498"/>
      <c r="H67" s="674"/>
      <c r="I67" s="357">
        <v>0</v>
      </c>
      <c r="J67" s="675">
        <v>0</v>
      </c>
      <c r="K67" s="357"/>
      <c r="L67" s="676">
        <v>0</v>
      </c>
      <c r="M67" s="674"/>
      <c r="N67" s="357"/>
      <c r="O67" s="357"/>
      <c r="P67" s="357"/>
      <c r="Q67" s="357"/>
      <c r="R67" s="677"/>
      <c r="S67" s="678">
        <f t="shared" si="1"/>
        <v>0</v>
      </c>
      <c r="T67" s="678">
        <f t="shared" si="1"/>
        <v>0</v>
      </c>
      <c r="U67" s="678">
        <f t="shared" si="4"/>
        <v>0</v>
      </c>
      <c r="V67" s="678">
        <f t="shared" si="5"/>
        <v>0</v>
      </c>
      <c r="W67" s="678">
        <f t="shared" si="6"/>
        <v>0</v>
      </c>
      <c r="X67" s="346"/>
    </row>
    <row r="68" spans="1:24" s="344" customFormat="1" ht="11.25" customHeight="1" x14ac:dyDescent="0.25">
      <c r="A68" s="347" t="s">
        <v>378</v>
      </c>
      <c r="B68" s="348" t="s">
        <v>424</v>
      </c>
      <c r="C68" s="348" t="s">
        <v>151</v>
      </c>
      <c r="D68" s="362" t="s">
        <v>152</v>
      </c>
      <c r="E68" s="358" t="s">
        <v>150</v>
      </c>
      <c r="F68" s="349" t="s">
        <v>464</v>
      </c>
      <c r="G68" s="501"/>
      <c r="H68" s="679"/>
      <c r="I68" s="357"/>
      <c r="J68" s="357"/>
      <c r="K68" s="675">
        <v>50</v>
      </c>
      <c r="L68" s="676">
        <v>0</v>
      </c>
      <c r="M68" s="674"/>
      <c r="N68" s="357"/>
      <c r="O68" s="357"/>
      <c r="P68" s="357"/>
      <c r="Q68" s="357"/>
      <c r="R68" s="677"/>
      <c r="S68" s="678">
        <f t="shared" si="1"/>
        <v>0</v>
      </c>
      <c r="T68" s="678">
        <f t="shared" si="1"/>
        <v>0</v>
      </c>
      <c r="U68" s="678">
        <f t="shared" si="4"/>
        <v>0</v>
      </c>
      <c r="V68" s="678">
        <f t="shared" si="5"/>
        <v>50</v>
      </c>
      <c r="W68" s="678">
        <f t="shared" si="6"/>
        <v>0</v>
      </c>
      <c r="X68" s="346"/>
    </row>
    <row r="69" spans="1:24" s="344" customFormat="1" ht="11.25" customHeight="1" x14ac:dyDescent="0.25">
      <c r="A69" s="347" t="s">
        <v>378</v>
      </c>
      <c r="B69" s="348" t="s">
        <v>1307</v>
      </c>
      <c r="C69" s="348" t="s">
        <v>151</v>
      </c>
      <c r="D69" s="357" t="s">
        <v>1334</v>
      </c>
      <c r="E69" s="348" t="s">
        <v>197</v>
      </c>
      <c r="F69" s="349" t="s">
        <v>466</v>
      </c>
      <c r="G69" s="498"/>
      <c r="H69" s="674">
        <v>267</v>
      </c>
      <c r="I69" s="357">
        <v>267</v>
      </c>
      <c r="J69" s="357">
        <v>0</v>
      </c>
      <c r="K69" s="357">
        <v>0</v>
      </c>
      <c r="L69" s="676">
        <v>0</v>
      </c>
      <c r="M69" s="674">
        <f>231+36</f>
        <v>267</v>
      </c>
      <c r="N69" s="357">
        <f>231+36</f>
        <v>267</v>
      </c>
      <c r="O69" s="357"/>
      <c r="P69" s="357"/>
      <c r="Q69" s="357"/>
      <c r="R69" s="677" t="s">
        <v>1629</v>
      </c>
      <c r="S69" s="678">
        <f t="shared" ref="S69:T138" si="11">H69-M69</f>
        <v>0</v>
      </c>
      <c r="T69" s="678">
        <f t="shared" si="11"/>
        <v>0</v>
      </c>
      <c r="U69" s="678">
        <f t="shared" si="4"/>
        <v>0</v>
      </c>
      <c r="V69" s="678">
        <f t="shared" si="5"/>
        <v>0</v>
      </c>
      <c r="W69" s="678">
        <f t="shared" si="6"/>
        <v>0</v>
      </c>
      <c r="X69" s="346" t="s">
        <v>1627</v>
      </c>
    </row>
    <row r="70" spans="1:24" s="344" customFormat="1" ht="11.25" customHeight="1" x14ac:dyDescent="0.25">
      <c r="A70" s="347" t="s">
        <v>378</v>
      </c>
      <c r="B70" s="348" t="s">
        <v>424</v>
      </c>
      <c r="C70" s="348" t="s">
        <v>151</v>
      </c>
      <c r="D70" s="362" t="s">
        <v>1335</v>
      </c>
      <c r="E70" s="348" t="s">
        <v>939</v>
      </c>
      <c r="F70" s="349" t="s">
        <v>464</v>
      </c>
      <c r="G70" s="501" t="s">
        <v>1271</v>
      </c>
      <c r="H70" s="674">
        <v>36</v>
      </c>
      <c r="I70" s="357">
        <v>36</v>
      </c>
      <c r="J70" s="357">
        <v>21</v>
      </c>
      <c r="K70" s="675">
        <v>0</v>
      </c>
      <c r="L70" s="676">
        <v>0</v>
      </c>
      <c r="M70" s="674"/>
      <c r="N70" s="357"/>
      <c r="O70" s="357"/>
      <c r="P70" s="357"/>
      <c r="Q70" s="357"/>
      <c r="R70" s="677"/>
      <c r="S70" s="678">
        <f t="shared" si="11"/>
        <v>36</v>
      </c>
      <c r="T70" s="678">
        <f t="shared" si="11"/>
        <v>36</v>
      </c>
      <c r="U70" s="678">
        <f t="shared" si="4"/>
        <v>21</v>
      </c>
      <c r="V70" s="678">
        <f t="shared" si="5"/>
        <v>0</v>
      </c>
      <c r="W70" s="678">
        <f t="shared" si="6"/>
        <v>0</v>
      </c>
      <c r="X70" s="346"/>
    </row>
    <row r="71" spans="1:24" s="344" customFormat="1" ht="11.25" customHeight="1" x14ac:dyDescent="0.25">
      <c r="A71" s="350" t="s">
        <v>3</v>
      </c>
      <c r="B71" s="351"/>
      <c r="C71" s="351"/>
      <c r="D71" s="352"/>
      <c r="E71" s="353"/>
      <c r="F71" s="354"/>
      <c r="G71" s="507"/>
      <c r="H71" s="355">
        <f>SUM(H62:H70)</f>
        <v>554</v>
      </c>
      <c r="I71" s="355">
        <f t="shared" ref="I71:V71" si="12">SUM(I62:I70)</f>
        <v>633</v>
      </c>
      <c r="J71" s="355">
        <f t="shared" si="12"/>
        <v>127</v>
      </c>
      <c r="K71" s="355">
        <f t="shared" si="12"/>
        <v>50</v>
      </c>
      <c r="L71" s="355">
        <f t="shared" si="12"/>
        <v>1</v>
      </c>
      <c r="M71" s="355">
        <f t="shared" si="12"/>
        <v>497</v>
      </c>
      <c r="N71" s="355">
        <f t="shared" si="12"/>
        <v>497</v>
      </c>
      <c r="O71" s="355">
        <f t="shared" si="12"/>
        <v>0</v>
      </c>
      <c r="P71" s="355">
        <f t="shared" si="12"/>
        <v>0</v>
      </c>
      <c r="Q71" s="355">
        <f t="shared" si="12"/>
        <v>0</v>
      </c>
      <c r="R71" s="355">
        <f t="shared" si="12"/>
        <v>0</v>
      </c>
      <c r="S71" s="355">
        <f t="shared" si="12"/>
        <v>57</v>
      </c>
      <c r="T71" s="355">
        <f t="shared" si="12"/>
        <v>136</v>
      </c>
      <c r="U71" s="355">
        <f t="shared" si="12"/>
        <v>127</v>
      </c>
      <c r="V71" s="355">
        <f t="shared" si="12"/>
        <v>50</v>
      </c>
      <c r="W71" s="355">
        <f>SUM(W62:W70)</f>
        <v>1</v>
      </c>
      <c r="X71" s="346"/>
    </row>
    <row r="72" spans="1:24" s="344" customFormat="1" ht="11.25" customHeight="1" x14ac:dyDescent="0.25">
      <c r="A72" s="347" t="s">
        <v>1321</v>
      </c>
      <c r="B72" s="348" t="s">
        <v>424</v>
      </c>
      <c r="C72" s="348" t="s">
        <v>166</v>
      </c>
      <c r="D72" s="348" t="s">
        <v>167</v>
      </c>
      <c r="E72" s="348" t="s">
        <v>279</v>
      </c>
      <c r="F72" s="349" t="s">
        <v>464</v>
      </c>
      <c r="G72" s="498"/>
      <c r="H72" s="679">
        <v>0</v>
      </c>
      <c r="I72" s="357">
        <v>0</v>
      </c>
      <c r="J72" s="357"/>
      <c r="K72" s="675"/>
      <c r="L72" s="676">
        <v>0</v>
      </c>
      <c r="M72" s="674"/>
      <c r="N72" s="357"/>
      <c r="O72" s="357"/>
      <c r="P72" s="357"/>
      <c r="Q72" s="357"/>
      <c r="R72" s="677"/>
      <c r="S72" s="678">
        <f t="shared" si="11"/>
        <v>0</v>
      </c>
      <c r="T72" s="678">
        <f t="shared" si="11"/>
        <v>0</v>
      </c>
      <c r="U72" s="678">
        <f t="shared" si="4"/>
        <v>0</v>
      </c>
      <c r="V72" s="678">
        <f t="shared" si="5"/>
        <v>0</v>
      </c>
      <c r="W72" s="678">
        <f t="shared" si="6"/>
        <v>0</v>
      </c>
      <c r="X72" s="346"/>
    </row>
    <row r="73" spans="1:24" s="344" customFormat="1" ht="11.25" customHeight="1" x14ac:dyDescent="0.25">
      <c r="A73" s="347" t="s">
        <v>1321</v>
      </c>
      <c r="B73" s="348" t="s">
        <v>1336</v>
      </c>
      <c r="C73" s="348" t="s">
        <v>166</v>
      </c>
      <c r="D73" s="348" t="s">
        <v>1141</v>
      </c>
      <c r="E73" s="348" t="s">
        <v>1123</v>
      </c>
      <c r="F73" s="349" t="s">
        <v>464</v>
      </c>
      <c r="G73" s="498"/>
      <c r="H73" s="679">
        <v>4</v>
      </c>
      <c r="I73" s="357">
        <v>0</v>
      </c>
      <c r="J73" s="357">
        <v>0</v>
      </c>
      <c r="K73" s="675">
        <v>0</v>
      </c>
      <c r="L73" s="676">
        <v>0</v>
      </c>
      <c r="M73" s="674"/>
      <c r="N73" s="357"/>
      <c r="O73" s="357"/>
      <c r="P73" s="357"/>
      <c r="Q73" s="357"/>
      <c r="R73" s="677"/>
      <c r="S73" s="678">
        <f t="shared" si="11"/>
        <v>4</v>
      </c>
      <c r="T73" s="678">
        <f t="shared" si="11"/>
        <v>0</v>
      </c>
      <c r="U73" s="678">
        <f t="shared" si="4"/>
        <v>0</v>
      </c>
      <c r="V73" s="678">
        <f t="shared" si="5"/>
        <v>0</v>
      </c>
      <c r="W73" s="678">
        <f t="shared" si="6"/>
        <v>0</v>
      </c>
      <c r="X73" s="346"/>
    </row>
    <row r="74" spans="1:24" s="344" customFormat="1" ht="11.25" customHeight="1" x14ac:dyDescent="0.25">
      <c r="A74" s="347" t="s">
        <v>1321</v>
      </c>
      <c r="B74" s="348" t="s">
        <v>1324</v>
      </c>
      <c r="C74" s="348" t="s">
        <v>166</v>
      </c>
      <c r="D74" s="348" t="s">
        <v>1337</v>
      </c>
      <c r="E74" s="348" t="s">
        <v>761</v>
      </c>
      <c r="F74" s="349" t="s">
        <v>464</v>
      </c>
      <c r="G74" s="498"/>
      <c r="H74" s="679"/>
      <c r="I74" s="357"/>
      <c r="J74" s="357">
        <v>0</v>
      </c>
      <c r="K74" s="675">
        <v>20</v>
      </c>
      <c r="L74" s="676">
        <v>0</v>
      </c>
      <c r="M74" s="674"/>
      <c r="N74" s="357"/>
      <c r="O74" s="357"/>
      <c r="P74" s="357">
        <v>20</v>
      </c>
      <c r="Q74" s="357"/>
      <c r="R74" s="677" t="s">
        <v>1620</v>
      </c>
      <c r="S74" s="678">
        <f t="shared" si="11"/>
        <v>0</v>
      </c>
      <c r="T74" s="678">
        <f t="shared" si="11"/>
        <v>0</v>
      </c>
      <c r="U74" s="678">
        <f t="shared" si="4"/>
        <v>0</v>
      </c>
      <c r="V74" s="678">
        <f t="shared" si="5"/>
        <v>0</v>
      </c>
      <c r="W74" s="678">
        <f t="shared" si="6"/>
        <v>0</v>
      </c>
      <c r="X74" s="346"/>
    </row>
    <row r="75" spans="1:24" s="344" customFormat="1" ht="11.25" customHeight="1" x14ac:dyDescent="0.25">
      <c r="A75" s="350" t="s">
        <v>3</v>
      </c>
      <c r="B75" s="351"/>
      <c r="C75" s="351"/>
      <c r="D75" s="352"/>
      <c r="E75" s="353"/>
      <c r="F75" s="354"/>
      <c r="G75" s="507"/>
      <c r="H75" s="355">
        <f t="shared" ref="H75:W75" si="13">SUM(H72:H74)</f>
        <v>4</v>
      </c>
      <c r="I75" s="355">
        <f t="shared" si="13"/>
        <v>0</v>
      </c>
      <c r="J75" s="355">
        <f t="shared" si="13"/>
        <v>0</v>
      </c>
      <c r="K75" s="355">
        <f t="shared" si="13"/>
        <v>20</v>
      </c>
      <c r="L75" s="355">
        <f t="shared" si="13"/>
        <v>0</v>
      </c>
      <c r="M75" s="355">
        <f t="shared" si="13"/>
        <v>0</v>
      </c>
      <c r="N75" s="355">
        <f t="shared" si="13"/>
        <v>0</v>
      </c>
      <c r="O75" s="355">
        <f t="shared" si="13"/>
        <v>0</v>
      </c>
      <c r="P75" s="355">
        <f t="shared" si="13"/>
        <v>20</v>
      </c>
      <c r="Q75" s="355">
        <f t="shared" si="13"/>
        <v>0</v>
      </c>
      <c r="R75" s="355">
        <f t="shared" si="13"/>
        <v>0</v>
      </c>
      <c r="S75" s="355">
        <f t="shared" si="13"/>
        <v>4</v>
      </c>
      <c r="T75" s="355">
        <f t="shared" si="13"/>
        <v>0</v>
      </c>
      <c r="U75" s="355">
        <f t="shared" si="13"/>
        <v>0</v>
      </c>
      <c r="V75" s="355">
        <f t="shared" si="13"/>
        <v>0</v>
      </c>
      <c r="W75" s="355">
        <f t="shared" si="13"/>
        <v>0</v>
      </c>
      <c r="X75" s="346"/>
    </row>
    <row r="76" spans="1:24" s="344" customFormat="1" ht="11.25" customHeight="1" x14ac:dyDescent="0.25">
      <c r="A76" s="347" t="s">
        <v>378</v>
      </c>
      <c r="B76" s="348" t="s">
        <v>424</v>
      </c>
      <c r="C76" s="348" t="s">
        <v>173</v>
      </c>
      <c r="D76" s="357" t="s">
        <v>1338</v>
      </c>
      <c r="E76" s="348" t="s">
        <v>172</v>
      </c>
      <c r="F76" s="349" t="s">
        <v>464</v>
      </c>
      <c r="G76" s="498" t="s">
        <v>1311</v>
      </c>
      <c r="H76" s="679"/>
      <c r="I76" s="675"/>
      <c r="J76" s="675">
        <v>0</v>
      </c>
      <c r="K76" s="675">
        <v>10</v>
      </c>
      <c r="L76" s="676">
        <v>0</v>
      </c>
      <c r="M76" s="674"/>
      <c r="N76" s="357"/>
      <c r="O76" s="357"/>
      <c r="P76" s="357"/>
      <c r="Q76" s="357"/>
      <c r="R76" s="677"/>
      <c r="S76" s="678">
        <f t="shared" si="11"/>
        <v>0</v>
      </c>
      <c r="T76" s="678">
        <f t="shared" si="11"/>
        <v>0</v>
      </c>
      <c r="U76" s="678">
        <f t="shared" si="4"/>
        <v>0</v>
      </c>
      <c r="V76" s="678">
        <f t="shared" si="5"/>
        <v>10</v>
      </c>
      <c r="W76" s="678">
        <f t="shared" si="6"/>
        <v>0</v>
      </c>
      <c r="X76" s="346" t="s">
        <v>1339</v>
      </c>
    </row>
    <row r="77" spans="1:24" s="344" customFormat="1" ht="11.25" customHeight="1" x14ac:dyDescent="0.25">
      <c r="A77" s="347" t="s">
        <v>378</v>
      </c>
      <c r="B77" s="348" t="s">
        <v>424</v>
      </c>
      <c r="C77" s="348" t="s">
        <v>173</v>
      </c>
      <c r="D77" s="357" t="s">
        <v>176</v>
      </c>
      <c r="E77" s="357" t="s">
        <v>175</v>
      </c>
      <c r="F77" s="349" t="s">
        <v>464</v>
      </c>
      <c r="G77" s="500" t="s">
        <v>1311</v>
      </c>
      <c r="H77" s="675">
        <v>5</v>
      </c>
      <c r="I77" s="675">
        <v>5</v>
      </c>
      <c r="J77" s="675">
        <v>0</v>
      </c>
      <c r="K77" s="675">
        <v>5</v>
      </c>
      <c r="L77" s="676">
        <v>0</v>
      </c>
      <c r="M77" s="674"/>
      <c r="N77" s="357"/>
      <c r="O77" s="357"/>
      <c r="P77" s="357"/>
      <c r="Q77" s="357"/>
      <c r="R77" s="677"/>
      <c r="S77" s="678">
        <f t="shared" si="11"/>
        <v>5</v>
      </c>
      <c r="T77" s="678">
        <f t="shared" si="11"/>
        <v>5</v>
      </c>
      <c r="U77" s="678">
        <f t="shared" si="4"/>
        <v>0</v>
      </c>
      <c r="V77" s="678">
        <f t="shared" si="5"/>
        <v>5</v>
      </c>
      <c r="W77" s="678">
        <f t="shared" si="6"/>
        <v>0</v>
      </c>
      <c r="X77" s="346" t="s">
        <v>1339</v>
      </c>
    </row>
    <row r="78" spans="1:24" s="344" customFormat="1" ht="11.25" customHeight="1" x14ac:dyDescent="0.25">
      <c r="A78" s="347" t="s">
        <v>378</v>
      </c>
      <c r="B78" s="348" t="s">
        <v>1336</v>
      </c>
      <c r="C78" s="348" t="s">
        <v>173</v>
      </c>
      <c r="D78" s="357" t="s">
        <v>1851</v>
      </c>
      <c r="E78" s="357" t="s">
        <v>1839</v>
      </c>
      <c r="F78" s="349" t="s">
        <v>464</v>
      </c>
      <c r="G78" s="500" t="s">
        <v>1311</v>
      </c>
      <c r="H78" s="675">
        <v>45</v>
      </c>
      <c r="I78" s="675">
        <v>45</v>
      </c>
      <c r="J78" s="675"/>
      <c r="K78" s="675"/>
      <c r="L78" s="676"/>
      <c r="M78" s="674"/>
      <c r="N78" s="357"/>
      <c r="O78" s="357"/>
      <c r="P78" s="357"/>
      <c r="Q78" s="357"/>
      <c r="R78" s="677"/>
      <c r="S78" s="678">
        <f t="shared" si="11"/>
        <v>45</v>
      </c>
      <c r="T78" s="678">
        <f t="shared" si="11"/>
        <v>45</v>
      </c>
      <c r="U78" s="678">
        <f t="shared" si="4"/>
        <v>0</v>
      </c>
      <c r="V78" s="678">
        <f t="shared" si="5"/>
        <v>0</v>
      </c>
      <c r="W78" s="678">
        <f t="shared" si="6"/>
        <v>0</v>
      </c>
      <c r="X78" s="346"/>
    </row>
    <row r="79" spans="1:24" s="344" customFormat="1" ht="11.25" customHeight="1" x14ac:dyDescent="0.25">
      <c r="A79" s="347" t="s">
        <v>378</v>
      </c>
      <c r="B79" s="348" t="s">
        <v>1336</v>
      </c>
      <c r="C79" s="348" t="s">
        <v>173</v>
      </c>
      <c r="D79" s="357" t="s">
        <v>1852</v>
      </c>
      <c r="E79" s="357" t="s">
        <v>1840</v>
      </c>
      <c r="F79" s="349" t="s">
        <v>464</v>
      </c>
      <c r="G79" s="500" t="s">
        <v>1311</v>
      </c>
      <c r="H79" s="675">
        <v>89</v>
      </c>
      <c r="I79" s="675">
        <v>89</v>
      </c>
      <c r="J79" s="675"/>
      <c r="K79" s="675"/>
      <c r="L79" s="676"/>
      <c r="M79" s="674"/>
      <c r="N79" s="357"/>
      <c r="O79" s="357"/>
      <c r="P79" s="357"/>
      <c r="Q79" s="357"/>
      <c r="R79" s="677"/>
      <c r="S79" s="678">
        <f t="shared" si="11"/>
        <v>89</v>
      </c>
      <c r="T79" s="678">
        <f t="shared" si="11"/>
        <v>89</v>
      </c>
      <c r="U79" s="678">
        <f t="shared" si="4"/>
        <v>0</v>
      </c>
      <c r="V79" s="678">
        <f t="shared" si="5"/>
        <v>0</v>
      </c>
      <c r="W79" s="678">
        <f t="shared" si="6"/>
        <v>0</v>
      </c>
      <c r="X79" s="346"/>
    </row>
    <row r="80" spans="1:24" s="344" customFormat="1" ht="11.25" customHeight="1" x14ac:dyDescent="0.25">
      <c r="A80" s="347" t="s">
        <v>378</v>
      </c>
      <c r="B80" s="348" t="s">
        <v>1336</v>
      </c>
      <c r="C80" s="348" t="s">
        <v>173</v>
      </c>
      <c r="D80" s="357" t="s">
        <v>1853</v>
      </c>
      <c r="E80" s="357" t="s">
        <v>1841</v>
      </c>
      <c r="F80" s="349" t="s">
        <v>464</v>
      </c>
      <c r="G80" s="500" t="s">
        <v>1311</v>
      </c>
      <c r="H80" s="675">
        <v>110</v>
      </c>
      <c r="I80" s="675">
        <v>110</v>
      </c>
      <c r="J80" s="675"/>
      <c r="K80" s="675"/>
      <c r="L80" s="676"/>
      <c r="M80" s="674"/>
      <c r="N80" s="357"/>
      <c r="O80" s="357"/>
      <c r="P80" s="357"/>
      <c r="Q80" s="357"/>
      <c r="R80" s="677"/>
      <c r="S80" s="678">
        <f t="shared" si="11"/>
        <v>110</v>
      </c>
      <c r="T80" s="678">
        <f t="shared" si="11"/>
        <v>110</v>
      </c>
      <c r="U80" s="678">
        <f t="shared" si="4"/>
        <v>0</v>
      </c>
      <c r="V80" s="678">
        <f t="shared" si="5"/>
        <v>0</v>
      </c>
      <c r="W80" s="678">
        <f t="shared" si="6"/>
        <v>0</v>
      </c>
      <c r="X80" s="346"/>
    </row>
    <row r="81" spans="1:1023 1030:2047 2054:3071 3078:4095 4102:5119 5126:6143 6150:7167 7174:8191 8198:9215 9222:10239 10246:11263 11270:12287 12294:13311 13318:14335 14342:15359 15366:16384" s="344" customFormat="1" ht="11.25" customHeight="1" x14ac:dyDescent="0.25">
      <c r="A81" s="347" t="s">
        <v>378</v>
      </c>
      <c r="B81" s="348" t="s">
        <v>1336</v>
      </c>
      <c r="C81" s="348" t="s">
        <v>173</v>
      </c>
      <c r="D81" s="357" t="s">
        <v>1856</v>
      </c>
      <c r="E81" s="357" t="s">
        <v>1842</v>
      </c>
      <c r="F81" s="349" t="s">
        <v>464</v>
      </c>
      <c r="G81" s="500" t="s">
        <v>1311</v>
      </c>
      <c r="H81" s="675">
        <v>33</v>
      </c>
      <c r="I81" s="675">
        <v>33</v>
      </c>
      <c r="J81" s="675"/>
      <c r="K81" s="675"/>
      <c r="L81" s="676"/>
      <c r="M81" s="674"/>
      <c r="N81" s="357"/>
      <c r="O81" s="357"/>
      <c r="P81" s="357"/>
      <c r="Q81" s="357"/>
      <c r="R81" s="677"/>
      <c r="S81" s="678">
        <f t="shared" si="11"/>
        <v>33</v>
      </c>
      <c r="T81" s="678">
        <f t="shared" si="11"/>
        <v>33</v>
      </c>
      <c r="U81" s="678">
        <f t="shared" si="4"/>
        <v>0</v>
      </c>
      <c r="V81" s="678">
        <f t="shared" si="5"/>
        <v>0</v>
      </c>
      <c r="W81" s="678">
        <f t="shared" si="6"/>
        <v>0</v>
      </c>
      <c r="X81" s="346"/>
    </row>
    <row r="82" spans="1:1023 1030:2047 2054:3071 3078:4095 4102:5119 5126:6143 6150:7167 7174:8191 8198:9215 9222:10239 10246:11263 11270:12287 12294:13311 13318:14335 14342:15359 15366:16384" s="344" customFormat="1" ht="11.25" customHeight="1" x14ac:dyDescent="0.25">
      <c r="A82" s="347" t="s">
        <v>378</v>
      </c>
      <c r="B82" s="348" t="s">
        <v>424</v>
      </c>
      <c r="C82" s="348" t="s">
        <v>173</v>
      </c>
      <c r="D82" s="357" t="s">
        <v>1340</v>
      </c>
      <c r="E82" s="348" t="s">
        <v>1056</v>
      </c>
      <c r="F82" s="349" t="s">
        <v>464</v>
      </c>
      <c r="G82" s="500" t="s">
        <v>1311</v>
      </c>
      <c r="H82" s="675"/>
      <c r="I82" s="675">
        <v>0</v>
      </c>
      <c r="J82" s="675">
        <v>0</v>
      </c>
      <c r="K82" s="675"/>
      <c r="L82" s="676">
        <v>0</v>
      </c>
      <c r="M82" s="674"/>
      <c r="N82" s="357"/>
      <c r="O82" s="357"/>
      <c r="P82" s="357"/>
      <c r="Q82" s="357"/>
      <c r="R82" s="677"/>
      <c r="S82" s="678">
        <f t="shared" si="11"/>
        <v>0</v>
      </c>
      <c r="T82" s="678">
        <f t="shared" si="11"/>
        <v>0</v>
      </c>
      <c r="U82" s="678">
        <f t="shared" si="4"/>
        <v>0</v>
      </c>
      <c r="V82" s="678">
        <f t="shared" si="5"/>
        <v>0</v>
      </c>
      <c r="W82" s="678">
        <f t="shared" si="6"/>
        <v>0</v>
      </c>
      <c r="X82" s="346"/>
    </row>
    <row r="83" spans="1:1023 1030:2047 2054:3071 3078:4095 4102:5119 5126:6143 6150:7167 7174:8191 8198:9215 9222:10239 10246:11263 11270:12287 12294:13311 13318:14335 14342:15359 15366:16384" s="344" customFormat="1" ht="11.25" customHeight="1" x14ac:dyDescent="0.25">
      <c r="A83" s="674" t="s">
        <v>378</v>
      </c>
      <c r="B83" s="357" t="s">
        <v>424</v>
      </c>
      <c r="C83" s="357" t="s">
        <v>173</v>
      </c>
      <c r="D83" s="357" t="s">
        <v>1341</v>
      </c>
      <c r="E83" s="348" t="s">
        <v>177</v>
      </c>
      <c r="F83" s="349" t="s">
        <v>464</v>
      </c>
      <c r="G83" s="498" t="s">
        <v>1311</v>
      </c>
      <c r="H83" s="679"/>
      <c r="I83" s="675"/>
      <c r="J83" s="675">
        <v>0</v>
      </c>
      <c r="K83" s="675">
        <v>10</v>
      </c>
      <c r="L83" s="676">
        <v>0</v>
      </c>
      <c r="M83" s="674"/>
      <c r="N83" s="357"/>
      <c r="O83" s="357"/>
      <c r="P83" s="357"/>
      <c r="Q83" s="357"/>
      <c r="R83" s="677"/>
      <c r="S83" s="678">
        <f t="shared" si="11"/>
        <v>0</v>
      </c>
      <c r="T83" s="678">
        <f t="shared" si="11"/>
        <v>0</v>
      </c>
      <c r="U83" s="678">
        <f t="shared" si="4"/>
        <v>0</v>
      </c>
      <c r="V83" s="678">
        <f t="shared" si="5"/>
        <v>10</v>
      </c>
      <c r="W83" s="678">
        <f t="shared" si="6"/>
        <v>0</v>
      </c>
      <c r="X83" s="346" t="s">
        <v>1339</v>
      </c>
    </row>
    <row r="84" spans="1:1023 1030:2047 2054:3071 3078:4095 4102:5119 5126:6143 6150:7167 7174:8191 8198:9215 9222:10239 10246:11263 11270:12287 12294:13311 13318:14335 14342:15359 15366:16384" s="344" customFormat="1" ht="11.25" customHeight="1" x14ac:dyDescent="0.25">
      <c r="A84" s="350" t="s">
        <v>3</v>
      </c>
      <c r="B84" s="351"/>
      <c r="C84" s="351"/>
      <c r="D84" s="352"/>
      <c r="E84" s="353"/>
      <c r="F84" s="354"/>
      <c r="G84" s="507"/>
      <c r="H84" s="355">
        <f>SUM(H76:H83)</f>
        <v>282</v>
      </c>
      <c r="I84" s="355">
        <f t="shared" ref="I84:W84" si="14">SUM(I76:I83)</f>
        <v>282</v>
      </c>
      <c r="J84" s="355">
        <f t="shared" si="14"/>
        <v>0</v>
      </c>
      <c r="K84" s="355">
        <f t="shared" si="14"/>
        <v>25</v>
      </c>
      <c r="L84" s="355">
        <f t="shared" si="14"/>
        <v>0</v>
      </c>
      <c r="M84" s="355">
        <f t="shared" si="14"/>
        <v>0</v>
      </c>
      <c r="N84" s="355">
        <f t="shared" si="14"/>
        <v>0</v>
      </c>
      <c r="O84" s="355">
        <f t="shared" si="14"/>
        <v>0</v>
      </c>
      <c r="P84" s="355">
        <f t="shared" si="14"/>
        <v>0</v>
      </c>
      <c r="Q84" s="355">
        <f t="shared" si="14"/>
        <v>0</v>
      </c>
      <c r="R84" s="355">
        <f t="shared" si="14"/>
        <v>0</v>
      </c>
      <c r="S84" s="355">
        <f t="shared" si="14"/>
        <v>282</v>
      </c>
      <c r="T84" s="355">
        <f t="shared" si="14"/>
        <v>282</v>
      </c>
      <c r="U84" s="355">
        <f t="shared" si="14"/>
        <v>0</v>
      </c>
      <c r="V84" s="355">
        <f t="shared" si="14"/>
        <v>25</v>
      </c>
      <c r="W84" s="355">
        <f t="shared" si="14"/>
        <v>0</v>
      </c>
      <c r="X84" s="346"/>
    </row>
    <row r="85" spans="1:1023 1030:2047 2054:3071 3078:4095 4102:5119 5126:6143 6150:7167 7174:8191 8198:9215 9222:10239 10246:11263 11270:12287 12294:13311 13318:14335 14342:15359 15366:16384" s="344" customFormat="1" ht="11.25" customHeight="1" x14ac:dyDescent="0.25">
      <c r="A85" s="347" t="s">
        <v>378</v>
      </c>
      <c r="B85" s="348" t="s">
        <v>424</v>
      </c>
      <c r="C85" s="348" t="s">
        <v>180</v>
      </c>
      <c r="D85" s="348" t="s">
        <v>1342</v>
      </c>
      <c r="E85" s="348" t="s">
        <v>285</v>
      </c>
      <c r="F85" s="349" t="s">
        <v>464</v>
      </c>
      <c r="G85" s="498"/>
      <c r="H85" s="683">
        <v>0</v>
      </c>
      <c r="I85" s="357">
        <v>0</v>
      </c>
      <c r="J85" s="684">
        <v>0</v>
      </c>
      <c r="K85" s="684"/>
      <c r="L85" s="685">
        <v>0</v>
      </c>
      <c r="M85" s="674"/>
      <c r="N85" s="357"/>
      <c r="O85" s="357"/>
      <c r="P85" s="357"/>
      <c r="Q85" s="357"/>
      <c r="R85" s="677"/>
      <c r="S85" s="678">
        <f t="shared" si="11"/>
        <v>0</v>
      </c>
      <c r="T85" s="678">
        <f t="shared" si="11"/>
        <v>0</v>
      </c>
      <c r="U85" s="678">
        <f t="shared" si="4"/>
        <v>0</v>
      </c>
      <c r="V85" s="678">
        <f t="shared" si="5"/>
        <v>0</v>
      </c>
      <c r="W85" s="678">
        <f t="shared" si="6"/>
        <v>0</v>
      </c>
      <c r="X85" s="346" t="s">
        <v>1339</v>
      </c>
    </row>
    <row r="86" spans="1:1023 1030:2047 2054:3071 3078:4095 4102:5119 5126:6143 6150:7167 7174:8191 8198:9215 9222:10239 10246:11263 11270:12287 12294:13311 13318:14335 14342:15359 15366:16384" s="344" customFormat="1" ht="11.25" customHeight="1" x14ac:dyDescent="0.25">
      <c r="A86" s="347" t="s">
        <v>378</v>
      </c>
      <c r="B86" s="348" t="s">
        <v>1313</v>
      </c>
      <c r="C86" s="348" t="s">
        <v>180</v>
      </c>
      <c r="D86" s="348" t="s">
        <v>1343</v>
      </c>
      <c r="E86" s="348" t="s">
        <v>179</v>
      </c>
      <c r="F86" s="349" t="s">
        <v>464</v>
      </c>
      <c r="G86" s="498"/>
      <c r="H86" s="683">
        <v>11</v>
      </c>
      <c r="I86" s="684">
        <v>11</v>
      </c>
      <c r="J86" s="684"/>
      <c r="K86" s="684"/>
      <c r="L86" s="685">
        <v>0</v>
      </c>
      <c r="M86" s="674">
        <v>11</v>
      </c>
      <c r="N86" s="357">
        <v>11</v>
      </c>
      <c r="O86" s="357"/>
      <c r="P86" s="357"/>
      <c r="Q86" s="357"/>
      <c r="R86" s="677" t="s">
        <v>1584</v>
      </c>
      <c r="S86" s="678">
        <f t="shared" si="11"/>
        <v>0</v>
      </c>
      <c r="T86" s="678">
        <f t="shared" si="11"/>
        <v>0</v>
      </c>
      <c r="U86" s="678">
        <f t="shared" si="4"/>
        <v>0</v>
      </c>
      <c r="V86" s="678">
        <f t="shared" si="5"/>
        <v>0</v>
      </c>
      <c r="W86" s="678">
        <f t="shared" si="6"/>
        <v>0</v>
      </c>
      <c r="X86" s="346"/>
    </row>
    <row r="87" spans="1:1023 1030:2047 2054:3071 3078:4095 4102:5119 5126:6143 6150:7167 7174:8191 8198:9215 9222:10239 10246:11263 11270:12287 12294:13311 13318:14335 14342:15359 15366:16384" s="344" customFormat="1" ht="11.25" customHeight="1" x14ac:dyDescent="0.25">
      <c r="A87" s="350" t="s">
        <v>3</v>
      </c>
      <c r="B87" s="351"/>
      <c r="C87" s="351"/>
      <c r="D87" s="352"/>
      <c r="E87" s="353"/>
      <c r="F87" s="354"/>
      <c r="G87" s="507"/>
      <c r="H87" s="355">
        <f>SUM(H85:H86)</f>
        <v>11</v>
      </c>
      <c r="I87" s="355">
        <f t="shared" ref="I87:W87" si="15">SUM(I85:I86)</f>
        <v>11</v>
      </c>
      <c r="J87" s="355">
        <f t="shared" si="15"/>
        <v>0</v>
      </c>
      <c r="K87" s="355">
        <f t="shared" si="15"/>
        <v>0</v>
      </c>
      <c r="L87" s="355">
        <f t="shared" si="15"/>
        <v>0</v>
      </c>
      <c r="M87" s="355">
        <f t="shared" si="15"/>
        <v>11</v>
      </c>
      <c r="N87" s="355">
        <f t="shared" si="15"/>
        <v>11</v>
      </c>
      <c r="O87" s="355">
        <f t="shared" si="15"/>
        <v>0</v>
      </c>
      <c r="P87" s="355">
        <f t="shared" si="15"/>
        <v>0</v>
      </c>
      <c r="Q87" s="355">
        <f t="shared" si="15"/>
        <v>0</v>
      </c>
      <c r="R87" s="355">
        <f t="shared" si="15"/>
        <v>0</v>
      </c>
      <c r="S87" s="355">
        <f t="shared" si="15"/>
        <v>0</v>
      </c>
      <c r="T87" s="355">
        <f t="shared" si="15"/>
        <v>0</v>
      </c>
      <c r="U87" s="355">
        <f t="shared" si="15"/>
        <v>0</v>
      </c>
      <c r="V87" s="355">
        <f t="shared" si="15"/>
        <v>0</v>
      </c>
      <c r="W87" s="355">
        <f t="shared" si="15"/>
        <v>0</v>
      </c>
      <c r="X87" s="346"/>
    </row>
    <row r="88" spans="1:1023 1030:2047 2054:3071 3078:4095 4102:5119 5126:6143 6150:7167 7174:8191 8198:9215 9222:10239 10246:11263 11270:12287 12294:13311 13318:14335 14342:15359 15366:16384" s="344" customFormat="1" ht="11.25" customHeight="1" x14ac:dyDescent="0.25">
      <c r="A88" s="347" t="s">
        <v>378</v>
      </c>
      <c r="B88" s="348" t="s">
        <v>1313</v>
      </c>
      <c r="C88" s="348" t="s">
        <v>185</v>
      </c>
      <c r="D88" s="348" t="s">
        <v>523</v>
      </c>
      <c r="E88" s="348" t="s">
        <v>191</v>
      </c>
      <c r="F88" s="349" t="s">
        <v>466</v>
      </c>
      <c r="G88" s="498"/>
      <c r="H88" s="674"/>
      <c r="I88" s="357"/>
      <c r="J88" s="675">
        <v>0</v>
      </c>
      <c r="K88" s="675">
        <v>0</v>
      </c>
      <c r="L88" s="676"/>
      <c r="M88" s="674"/>
      <c r="N88" s="357"/>
      <c r="O88" s="357"/>
      <c r="P88" s="357"/>
      <c r="Q88" s="357"/>
      <c r="R88" s="677"/>
      <c r="S88" s="678">
        <f t="shared" si="11"/>
        <v>0</v>
      </c>
      <c r="T88" s="678">
        <f t="shared" si="11"/>
        <v>0</v>
      </c>
      <c r="U88" s="678">
        <f t="shared" ref="U88:U153" si="16">J88-O88</f>
        <v>0</v>
      </c>
      <c r="V88" s="678">
        <f t="shared" ref="V88:V153" si="17">K88-P88</f>
        <v>0</v>
      </c>
      <c r="W88" s="678">
        <f t="shared" ref="W88:W153" si="18">L88-Q88</f>
        <v>0</v>
      </c>
      <c r="X88" s="346"/>
    </row>
    <row r="89" spans="1:1023 1030:2047 2054:3071 3078:4095 4102:5119 5126:6143 6150:7167 7174:8191 8198:9215 9222:10239 10246:11263 11270:12287 12294:13311 13318:14335 14342:15359 15366:16384" s="344" customFormat="1" ht="11.25" customHeight="1" x14ac:dyDescent="0.25">
      <c r="A89" s="347" t="s">
        <v>378</v>
      </c>
      <c r="B89" s="348" t="s">
        <v>1313</v>
      </c>
      <c r="C89" s="348" t="s">
        <v>185</v>
      </c>
      <c r="D89" s="348" t="s">
        <v>676</v>
      </c>
      <c r="E89" s="348" t="s">
        <v>193</v>
      </c>
      <c r="F89" s="349" t="s">
        <v>466</v>
      </c>
      <c r="G89" s="498" t="s">
        <v>1311</v>
      </c>
      <c r="H89" s="679">
        <v>169</v>
      </c>
      <c r="I89" s="675">
        <v>169</v>
      </c>
      <c r="J89" s="675">
        <v>190</v>
      </c>
      <c r="K89" s="675"/>
      <c r="L89" s="676">
        <v>1</v>
      </c>
      <c r="M89" s="674">
        <v>12</v>
      </c>
      <c r="N89" s="357"/>
      <c r="O89" s="357">
        <v>20</v>
      </c>
      <c r="P89" s="357"/>
      <c r="Q89" s="357"/>
      <c r="R89" s="677" t="s">
        <v>1836</v>
      </c>
      <c r="S89" s="678">
        <f t="shared" si="11"/>
        <v>157</v>
      </c>
      <c r="T89" s="678">
        <f t="shared" si="11"/>
        <v>169</v>
      </c>
      <c r="U89" s="678">
        <f t="shared" si="16"/>
        <v>170</v>
      </c>
      <c r="V89" s="678">
        <f t="shared" si="17"/>
        <v>0</v>
      </c>
      <c r="W89" s="678">
        <f t="shared" si="18"/>
        <v>1</v>
      </c>
      <c r="X89" s="346"/>
    </row>
    <row r="90" spans="1:1023 1030:2047 2054:3071 3078:4095 4102:5119 5126:6143 6150:7167 7174:8191 8198:9215 9222:10239 10246:11263 11270:12287 12294:13311 13318:14335 14342:15359 15366:16384" s="344" customFormat="1" ht="11.25" customHeight="1" x14ac:dyDescent="0.25">
      <c r="A90" s="347" t="s">
        <v>378</v>
      </c>
      <c r="B90" s="348" t="s">
        <v>1313</v>
      </c>
      <c r="C90" s="348" t="s">
        <v>185</v>
      </c>
      <c r="D90" s="348" t="s">
        <v>1344</v>
      </c>
      <c r="E90" s="348" t="s">
        <v>195</v>
      </c>
      <c r="F90" s="349" t="s">
        <v>466</v>
      </c>
      <c r="G90" s="498"/>
      <c r="H90" s="679">
        <v>98</v>
      </c>
      <c r="I90" s="675">
        <v>98</v>
      </c>
      <c r="J90" s="675">
        <v>329</v>
      </c>
      <c r="K90" s="675">
        <v>40</v>
      </c>
      <c r="L90" s="676"/>
      <c r="M90" s="674">
        <v>29</v>
      </c>
      <c r="N90" s="357">
        <v>29</v>
      </c>
      <c r="O90" s="357">
        <v>329</v>
      </c>
      <c r="P90" s="357"/>
      <c r="Q90" s="357"/>
      <c r="R90" s="677" t="s">
        <v>1630</v>
      </c>
      <c r="S90" s="678">
        <f t="shared" si="11"/>
        <v>69</v>
      </c>
      <c r="T90" s="678">
        <f t="shared" si="11"/>
        <v>69</v>
      </c>
      <c r="U90" s="678">
        <f t="shared" si="16"/>
        <v>0</v>
      </c>
      <c r="V90" s="678">
        <f t="shared" si="17"/>
        <v>40</v>
      </c>
      <c r="W90" s="678">
        <f t="shared" si="18"/>
        <v>0</v>
      </c>
      <c r="X90" s="346" t="s">
        <v>1623</v>
      </c>
    </row>
    <row r="91" spans="1:1023 1030:2047 2054:3071 3078:4095 4102:5119 5126:6143 6150:7167 7174:8191 8198:9215 9222:10239 10246:11263 11270:12287 12294:13311 13318:14335 14342:15359 15366:16384" s="344" customFormat="1" ht="11.25" customHeight="1" x14ac:dyDescent="0.25">
      <c r="A91" s="347" t="s">
        <v>378</v>
      </c>
      <c r="B91" s="348" t="s">
        <v>424</v>
      </c>
      <c r="C91" s="348" t="s">
        <v>185</v>
      </c>
      <c r="D91" s="348" t="s">
        <v>186</v>
      </c>
      <c r="E91" s="358" t="s">
        <v>184</v>
      </c>
      <c r="F91" s="349" t="s">
        <v>464</v>
      </c>
      <c r="G91" s="365" t="s">
        <v>1476</v>
      </c>
      <c r="H91" s="674">
        <v>27</v>
      </c>
      <c r="I91" s="357">
        <v>27</v>
      </c>
      <c r="J91" s="675">
        <v>20</v>
      </c>
      <c r="K91" s="675">
        <v>0</v>
      </c>
      <c r="L91" s="676">
        <v>0</v>
      </c>
      <c r="M91" s="674"/>
      <c r="N91" s="357"/>
      <c r="O91" s="357"/>
      <c r="P91" s="357"/>
      <c r="Q91" s="357"/>
      <c r="R91" s="677"/>
      <c r="S91" s="678">
        <f t="shared" si="11"/>
        <v>27</v>
      </c>
      <c r="T91" s="678">
        <f t="shared" si="11"/>
        <v>27</v>
      </c>
      <c r="U91" s="678">
        <f t="shared" si="16"/>
        <v>20</v>
      </c>
      <c r="V91" s="678">
        <f t="shared" si="17"/>
        <v>0</v>
      </c>
      <c r="W91" s="678">
        <f t="shared" si="18"/>
        <v>0</v>
      </c>
      <c r="X91" s="346"/>
    </row>
    <row r="92" spans="1:1023 1030:2047 2054:3071 3078:4095 4102:5119 5126:6143 6150:7167 7174:8191 8198:9215 9222:10239 10246:11263 11270:12287 12294:13311 13318:14335 14342:15359 15366:16384" s="344" customFormat="1" ht="11.25" customHeight="1" x14ac:dyDescent="0.25">
      <c r="A92" s="347" t="s">
        <v>378</v>
      </c>
      <c r="B92" s="348" t="s">
        <v>1307</v>
      </c>
      <c r="C92" s="348" t="s">
        <v>185</v>
      </c>
      <c r="D92" s="348" t="s">
        <v>1345</v>
      </c>
      <c r="E92" s="348" t="s">
        <v>222</v>
      </c>
      <c r="F92" s="349" t="s">
        <v>464</v>
      </c>
      <c r="G92" s="498"/>
      <c r="H92" s="679">
        <v>60</v>
      </c>
      <c r="I92" s="675">
        <v>60</v>
      </c>
      <c r="J92" s="675">
        <v>0</v>
      </c>
      <c r="K92" s="675">
        <v>0</v>
      </c>
      <c r="L92" s="676">
        <v>0</v>
      </c>
      <c r="M92" s="674">
        <v>50</v>
      </c>
      <c r="N92" s="357">
        <v>50</v>
      </c>
      <c r="O92" s="357"/>
      <c r="P92" s="357"/>
      <c r="Q92" s="357"/>
      <c r="R92" s="677" t="s">
        <v>1628</v>
      </c>
      <c r="S92" s="678">
        <f t="shared" si="11"/>
        <v>10</v>
      </c>
      <c r="T92" s="678">
        <f t="shared" si="11"/>
        <v>10</v>
      </c>
      <c r="U92" s="678">
        <f t="shared" si="16"/>
        <v>0</v>
      </c>
      <c r="V92" s="678">
        <f t="shared" si="17"/>
        <v>0</v>
      </c>
      <c r="W92" s="678">
        <f t="shared" si="18"/>
        <v>0</v>
      </c>
      <c r="X92" s="346"/>
    </row>
    <row r="93" spans="1:1023 1030:2047 2054:3071 3078:4095 4102:5119 5126:6143 6150:7167 7174:8191 8198:9215 9222:10239 10246:11263 11270:12287 12294:13311 13318:14335 14342:15359 15366:16384" s="344" customFormat="1" ht="11.25" customHeight="1" x14ac:dyDescent="0.25">
      <c r="A93" s="698" t="s">
        <v>378</v>
      </c>
      <c r="B93" s="699" t="s">
        <v>424</v>
      </c>
      <c r="C93" s="699" t="s">
        <v>185</v>
      </c>
      <c r="D93" s="705" t="s">
        <v>190</v>
      </c>
      <c r="E93" s="705" t="s">
        <v>189</v>
      </c>
      <c r="F93" s="700" t="s">
        <v>464</v>
      </c>
      <c r="G93" s="706"/>
      <c r="H93" s="695">
        <v>20</v>
      </c>
      <c r="I93" s="697">
        <v>20</v>
      </c>
      <c r="J93" s="696">
        <v>12</v>
      </c>
      <c r="K93" s="696"/>
      <c r="L93" s="701"/>
      <c r="M93" s="695">
        <v>52</v>
      </c>
      <c r="N93" s="697"/>
      <c r="O93" s="697">
        <v>12</v>
      </c>
      <c r="P93" s="697"/>
      <c r="Q93" s="697"/>
      <c r="R93" s="701" t="s">
        <v>1831</v>
      </c>
      <c r="S93" s="702">
        <f t="shared" si="11"/>
        <v>-32</v>
      </c>
      <c r="T93" s="702">
        <f t="shared" si="11"/>
        <v>20</v>
      </c>
      <c r="U93" s="702">
        <f t="shared" si="16"/>
        <v>0</v>
      </c>
      <c r="V93" s="702">
        <f t="shared" si="17"/>
        <v>0</v>
      </c>
      <c r="W93" s="702">
        <f t="shared" si="18"/>
        <v>0</v>
      </c>
      <c r="X93" s="703"/>
      <c r="Y93" s="704"/>
      <c r="Z93" s="704"/>
      <c r="AA93" s="704"/>
      <c r="AB93" s="704"/>
      <c r="AC93" s="704"/>
      <c r="AD93" s="704"/>
      <c r="AE93" s="704"/>
      <c r="AF93" s="704"/>
      <c r="AG93" s="704"/>
      <c r="AH93" s="704"/>
      <c r="AI93" s="704"/>
      <c r="AJ93" s="704"/>
      <c r="AK93" s="704"/>
      <c r="AL93" s="704"/>
      <c r="AM93" s="704"/>
      <c r="AN93" s="704"/>
      <c r="AO93" s="704"/>
      <c r="AP93" s="704"/>
      <c r="AQ93" s="704"/>
      <c r="AR93" s="704"/>
      <c r="AS93" s="704"/>
      <c r="AT93" s="704"/>
      <c r="AU93" s="704"/>
      <c r="AV93" s="704"/>
      <c r="AW93" s="704"/>
      <c r="AX93" s="704"/>
      <c r="AY93" s="704"/>
      <c r="AZ93" s="704"/>
      <c r="BA93" s="704"/>
      <c r="BB93" s="704"/>
      <c r="BC93" s="704"/>
      <c r="BD93" s="704"/>
      <c r="BE93" s="704"/>
      <c r="BF93" s="704"/>
      <c r="BG93" s="704"/>
      <c r="BH93" s="704"/>
      <c r="BI93" s="704"/>
      <c r="BJ93" s="704"/>
      <c r="BK93" s="704"/>
      <c r="BL93" s="704"/>
      <c r="BM93" s="704"/>
      <c r="BN93" s="704"/>
      <c r="BO93" s="704"/>
      <c r="BP93" s="704"/>
      <c r="BQ93" s="704"/>
      <c r="BR93" s="704"/>
      <c r="BS93" s="704"/>
      <c r="BT93" s="704"/>
      <c r="BU93" s="704"/>
      <c r="BV93" s="704"/>
      <c r="BW93" s="704"/>
      <c r="BX93" s="704"/>
      <c r="BY93" s="704"/>
      <c r="BZ93" s="704"/>
      <c r="CA93" s="704"/>
      <c r="CB93" s="704"/>
      <c r="CC93" s="704"/>
      <c r="CD93" s="704"/>
      <c r="CE93" s="704"/>
      <c r="CF93" s="704"/>
      <c r="CG93" s="704"/>
      <c r="CH93" s="704"/>
      <c r="CI93" s="704"/>
      <c r="CJ93" s="704"/>
      <c r="CK93" s="704"/>
      <c r="CL93" s="704"/>
      <c r="CM93" s="704"/>
      <c r="CN93" s="704"/>
      <c r="CO93" s="704"/>
      <c r="CP93" s="704"/>
      <c r="CQ93" s="704"/>
      <c r="CR93" s="704"/>
      <c r="CS93" s="704"/>
      <c r="CT93" s="704"/>
      <c r="CU93" s="704"/>
      <c r="CV93" s="704"/>
      <c r="CW93" s="704"/>
      <c r="CX93" s="704"/>
      <c r="CY93" s="704"/>
      <c r="CZ93" s="704"/>
      <c r="DA93" s="704"/>
      <c r="DB93" s="704"/>
      <c r="DC93" s="704"/>
      <c r="DD93" s="704"/>
      <c r="DE93" s="704"/>
      <c r="DF93" s="704"/>
      <c r="DG93" s="704"/>
      <c r="DH93" s="704"/>
      <c r="DI93" s="704"/>
      <c r="DJ93" s="704"/>
      <c r="DK93" s="704"/>
      <c r="DL93" s="704"/>
      <c r="DM93" s="704"/>
      <c r="DN93" s="704"/>
      <c r="DO93" s="704"/>
      <c r="DP93" s="704"/>
      <c r="DQ93" s="704"/>
      <c r="DR93" s="704"/>
      <c r="DS93" s="704"/>
      <c r="DT93" s="704"/>
      <c r="DU93" s="704"/>
      <c r="DV93" s="704"/>
      <c r="DW93" s="704"/>
      <c r="DX93" s="704"/>
      <c r="DY93" s="704"/>
      <c r="DZ93" s="704"/>
      <c r="EA93" s="704"/>
      <c r="EB93" s="704"/>
      <c r="EC93" s="704"/>
      <c r="ED93" s="704"/>
      <c r="EE93" s="704"/>
      <c r="EF93" s="704"/>
      <c r="EG93" s="704"/>
      <c r="EH93" s="704"/>
      <c r="EI93" s="704"/>
      <c r="EJ93" s="704"/>
      <c r="EK93" s="704"/>
      <c r="EL93" s="704"/>
      <c r="EM93" s="704"/>
      <c r="EN93" s="704"/>
      <c r="EO93" s="704"/>
      <c r="EP93" s="704"/>
      <c r="EQ93" s="704"/>
      <c r="ER93" s="704"/>
      <c r="ES93" s="704"/>
      <c r="ET93" s="704"/>
      <c r="EU93" s="704"/>
      <c r="EV93" s="704"/>
      <c r="EW93" s="704"/>
      <c r="EX93" s="704"/>
      <c r="EY93" s="704"/>
      <c r="EZ93" s="704"/>
      <c r="FA93" s="704"/>
      <c r="FB93" s="704"/>
      <c r="FC93" s="704"/>
      <c r="FD93" s="704"/>
      <c r="FE93" s="704"/>
      <c r="FF93" s="704"/>
      <c r="FG93" s="704"/>
      <c r="FH93" s="704"/>
      <c r="FI93" s="704"/>
      <c r="FJ93" s="704"/>
      <c r="FK93" s="704"/>
      <c r="FL93" s="704"/>
      <c r="FM93" s="704"/>
      <c r="FN93" s="704"/>
      <c r="FO93" s="704"/>
      <c r="FP93" s="704"/>
      <c r="FQ93" s="704"/>
      <c r="FR93" s="704"/>
      <c r="FS93" s="704"/>
      <c r="FT93" s="704"/>
      <c r="FU93" s="704"/>
      <c r="FV93" s="704"/>
      <c r="FW93" s="704"/>
      <c r="FX93" s="704"/>
      <c r="FY93" s="704"/>
      <c r="FZ93" s="704"/>
      <c r="GA93" s="704"/>
      <c r="GB93" s="704"/>
      <c r="GC93" s="704"/>
      <c r="GD93" s="704"/>
      <c r="GE93" s="704"/>
      <c r="GF93" s="704"/>
      <c r="GG93" s="704"/>
      <c r="GH93" s="704"/>
      <c r="GI93" s="704"/>
      <c r="GJ93" s="704"/>
      <c r="GK93" s="704"/>
      <c r="GL93" s="704"/>
      <c r="GM93" s="704"/>
      <c r="GN93" s="704"/>
      <c r="GO93" s="704"/>
      <c r="GP93" s="704"/>
      <c r="GQ93" s="704"/>
      <c r="GR93" s="704"/>
      <c r="GS93" s="704"/>
      <c r="GT93" s="704"/>
      <c r="GU93" s="704"/>
      <c r="GV93" s="704"/>
      <c r="GW93" s="704"/>
      <c r="GX93" s="704"/>
      <c r="GY93" s="704"/>
      <c r="GZ93" s="704"/>
      <c r="HA93" s="704"/>
      <c r="HB93" s="704"/>
      <c r="HC93" s="704"/>
      <c r="HD93" s="704"/>
      <c r="HE93" s="704"/>
      <c r="HF93" s="704"/>
      <c r="HG93" s="704"/>
      <c r="HH93" s="704"/>
      <c r="HI93" s="704"/>
      <c r="HJ93" s="704"/>
      <c r="HK93" s="704"/>
      <c r="HL93" s="704"/>
      <c r="HM93" s="704"/>
      <c r="HN93" s="704"/>
      <c r="HO93" s="704"/>
      <c r="HP93" s="704"/>
      <c r="HQ93" s="704"/>
      <c r="HR93" s="704"/>
      <c r="HS93" s="704"/>
      <c r="HT93" s="704"/>
      <c r="HU93" s="704"/>
      <c r="HV93" s="704"/>
      <c r="HW93" s="704"/>
      <c r="HX93" s="704"/>
      <c r="HY93" s="704"/>
      <c r="HZ93" s="704"/>
      <c r="IA93" s="704"/>
      <c r="IB93" s="704"/>
      <c r="IC93" s="704"/>
      <c r="ID93" s="704"/>
      <c r="IE93" s="704"/>
      <c r="IF93" s="704"/>
      <c r="IG93" s="704"/>
      <c r="IH93" s="704"/>
      <c r="II93" s="704"/>
      <c r="IJ93" s="704"/>
      <c r="IK93" s="704"/>
      <c r="IL93" s="704"/>
      <c r="IM93" s="704"/>
      <c r="IN93" s="704"/>
      <c r="IO93" s="704"/>
      <c r="IP93" s="704"/>
      <c r="IQ93" s="704"/>
      <c r="IR93" s="704"/>
      <c r="IS93" s="704"/>
      <c r="IT93" s="704"/>
      <c r="IU93" s="704"/>
      <c r="JB93" s="704"/>
      <c r="JC93" s="704"/>
      <c r="JD93" s="704"/>
      <c r="JE93" s="704"/>
      <c r="JF93" s="704"/>
      <c r="JG93" s="704"/>
      <c r="JH93" s="704"/>
      <c r="JI93" s="704"/>
      <c r="JJ93" s="704"/>
      <c r="JK93" s="704"/>
      <c r="JL93" s="704"/>
      <c r="JM93" s="704"/>
      <c r="JN93" s="704"/>
      <c r="JO93" s="704"/>
      <c r="JP93" s="704"/>
      <c r="JQ93" s="704"/>
      <c r="JR93" s="704"/>
      <c r="JS93" s="704"/>
      <c r="JT93" s="704"/>
      <c r="JU93" s="704"/>
      <c r="JV93" s="704"/>
      <c r="JW93" s="704"/>
      <c r="JX93" s="704"/>
      <c r="JY93" s="704"/>
      <c r="JZ93" s="704"/>
      <c r="KA93" s="704"/>
      <c r="KB93" s="704"/>
      <c r="KC93" s="704"/>
      <c r="KD93" s="704"/>
      <c r="KE93" s="704"/>
      <c r="KF93" s="704"/>
      <c r="KG93" s="704"/>
      <c r="KH93" s="704"/>
      <c r="KI93" s="704"/>
      <c r="KJ93" s="704"/>
      <c r="KK93" s="704"/>
      <c r="KL93" s="704"/>
      <c r="KM93" s="704"/>
      <c r="KN93" s="704"/>
      <c r="KO93" s="704"/>
      <c r="KP93" s="704"/>
      <c r="KQ93" s="704"/>
      <c r="KR93" s="704"/>
      <c r="KS93" s="704"/>
      <c r="KT93" s="704"/>
      <c r="KU93" s="704"/>
      <c r="KV93" s="704"/>
      <c r="KW93" s="704"/>
      <c r="KX93" s="704"/>
      <c r="KY93" s="704"/>
      <c r="KZ93" s="704"/>
      <c r="LA93" s="704"/>
      <c r="LB93" s="704"/>
      <c r="LC93" s="704"/>
      <c r="LD93" s="704"/>
      <c r="LE93" s="704"/>
      <c r="LF93" s="704"/>
      <c r="LG93" s="704"/>
      <c r="LH93" s="704"/>
      <c r="LI93" s="704"/>
      <c r="LJ93" s="704"/>
      <c r="LK93" s="704"/>
      <c r="LL93" s="704"/>
      <c r="LM93" s="704"/>
      <c r="LN93" s="704"/>
      <c r="LO93" s="704"/>
      <c r="LP93" s="704"/>
      <c r="LQ93" s="704"/>
      <c r="LR93" s="704"/>
      <c r="LS93" s="704"/>
      <c r="LT93" s="704"/>
      <c r="LU93" s="704"/>
      <c r="LV93" s="704"/>
      <c r="LW93" s="704"/>
      <c r="LX93" s="704"/>
      <c r="LY93" s="704"/>
      <c r="LZ93" s="704"/>
      <c r="MA93" s="704"/>
      <c r="MB93" s="704"/>
      <c r="MC93" s="704"/>
      <c r="MD93" s="704"/>
      <c r="ME93" s="704"/>
      <c r="MF93" s="704"/>
      <c r="MG93" s="704"/>
      <c r="MH93" s="704"/>
      <c r="MI93" s="704"/>
      <c r="MJ93" s="704"/>
      <c r="MK93" s="704"/>
      <c r="ML93" s="704"/>
      <c r="MM93" s="704"/>
      <c r="MN93" s="704"/>
      <c r="MO93" s="704"/>
      <c r="MP93" s="704"/>
      <c r="MQ93" s="704"/>
      <c r="MR93" s="704"/>
      <c r="MS93" s="704"/>
      <c r="MT93" s="704"/>
      <c r="MU93" s="704"/>
      <c r="MV93" s="704"/>
      <c r="MW93" s="704"/>
      <c r="MX93" s="704"/>
      <c r="MY93" s="704"/>
      <c r="MZ93" s="704"/>
      <c r="NA93" s="704"/>
      <c r="NB93" s="704"/>
      <c r="NC93" s="704"/>
      <c r="ND93" s="704"/>
      <c r="NE93" s="704"/>
      <c r="NF93" s="704"/>
      <c r="NG93" s="704"/>
      <c r="NH93" s="704"/>
      <c r="NI93" s="704"/>
      <c r="NJ93" s="704"/>
      <c r="NK93" s="704"/>
      <c r="NL93" s="704"/>
      <c r="NM93" s="704"/>
      <c r="NN93" s="704"/>
      <c r="NO93" s="704"/>
      <c r="NP93" s="704"/>
      <c r="NQ93" s="704"/>
      <c r="NR93" s="704"/>
      <c r="NS93" s="704"/>
      <c r="NT93" s="704"/>
      <c r="NU93" s="704"/>
      <c r="NV93" s="704"/>
      <c r="NW93" s="704"/>
      <c r="NX93" s="704"/>
      <c r="NY93" s="704"/>
      <c r="NZ93" s="704"/>
      <c r="OA93" s="704"/>
      <c r="OB93" s="704"/>
      <c r="OC93" s="704"/>
      <c r="OD93" s="704"/>
      <c r="OE93" s="704"/>
      <c r="OF93" s="704"/>
      <c r="OG93" s="704"/>
      <c r="OH93" s="704"/>
      <c r="OI93" s="704"/>
      <c r="OJ93" s="704"/>
      <c r="OK93" s="704"/>
      <c r="OL93" s="704"/>
      <c r="OM93" s="704"/>
      <c r="ON93" s="704"/>
      <c r="OO93" s="704"/>
      <c r="OP93" s="704"/>
      <c r="OQ93" s="704"/>
      <c r="OR93" s="704"/>
      <c r="OS93" s="704"/>
      <c r="OT93" s="704"/>
      <c r="OU93" s="704"/>
      <c r="OV93" s="704"/>
      <c r="OW93" s="704"/>
      <c r="OX93" s="704"/>
      <c r="OY93" s="704"/>
      <c r="OZ93" s="704"/>
      <c r="PA93" s="704"/>
      <c r="PB93" s="704"/>
      <c r="PC93" s="704"/>
      <c r="PD93" s="704"/>
      <c r="PE93" s="704"/>
      <c r="PF93" s="704"/>
      <c r="PG93" s="704"/>
      <c r="PH93" s="704"/>
      <c r="PI93" s="704"/>
      <c r="PJ93" s="704"/>
      <c r="PK93" s="704"/>
      <c r="PL93" s="704"/>
      <c r="PM93" s="704"/>
      <c r="PN93" s="704"/>
      <c r="PO93" s="704"/>
      <c r="PP93" s="704"/>
      <c r="PQ93" s="704"/>
      <c r="PR93" s="704"/>
      <c r="PS93" s="704"/>
      <c r="PT93" s="704"/>
      <c r="PU93" s="704"/>
      <c r="PV93" s="704"/>
      <c r="PW93" s="704"/>
      <c r="PX93" s="704"/>
      <c r="PY93" s="704"/>
      <c r="PZ93" s="704"/>
      <c r="QA93" s="704"/>
      <c r="QB93" s="704"/>
      <c r="QC93" s="704"/>
      <c r="QD93" s="704"/>
      <c r="QE93" s="704"/>
      <c r="QF93" s="704"/>
      <c r="QG93" s="704"/>
      <c r="QH93" s="704"/>
      <c r="QI93" s="704"/>
      <c r="QJ93" s="704"/>
      <c r="QK93" s="704"/>
      <c r="QL93" s="704"/>
      <c r="QM93" s="704"/>
      <c r="QN93" s="704"/>
      <c r="QO93" s="704"/>
      <c r="QP93" s="704"/>
      <c r="QQ93" s="704"/>
      <c r="QR93" s="704"/>
      <c r="QS93" s="704"/>
      <c r="QT93" s="704"/>
      <c r="QU93" s="704"/>
      <c r="QV93" s="704"/>
      <c r="QW93" s="704"/>
      <c r="QX93" s="704"/>
      <c r="QY93" s="704"/>
      <c r="QZ93" s="704"/>
      <c r="RA93" s="704"/>
      <c r="RB93" s="704"/>
      <c r="RC93" s="704"/>
      <c r="RD93" s="704"/>
      <c r="RE93" s="704"/>
      <c r="RF93" s="704"/>
      <c r="RG93" s="704"/>
      <c r="RH93" s="704"/>
      <c r="RI93" s="704"/>
      <c r="RJ93" s="704"/>
      <c r="RK93" s="704"/>
      <c r="RL93" s="704"/>
      <c r="RM93" s="704"/>
      <c r="RN93" s="704"/>
      <c r="RO93" s="704"/>
      <c r="RP93" s="704"/>
      <c r="RQ93" s="704"/>
      <c r="RR93" s="704"/>
      <c r="RS93" s="704"/>
      <c r="RT93" s="704"/>
      <c r="RU93" s="704"/>
      <c r="RV93" s="704"/>
      <c r="RW93" s="704"/>
      <c r="RX93" s="704"/>
      <c r="RY93" s="704"/>
      <c r="RZ93" s="704"/>
      <c r="SA93" s="704"/>
      <c r="SB93" s="704"/>
      <c r="SC93" s="704"/>
      <c r="SD93" s="704"/>
      <c r="SE93" s="704"/>
      <c r="SF93" s="704"/>
      <c r="SG93" s="704"/>
      <c r="SH93" s="704"/>
      <c r="SI93" s="704"/>
      <c r="SJ93" s="704"/>
      <c r="SK93" s="704"/>
      <c r="SL93" s="704"/>
      <c r="SM93" s="704"/>
      <c r="SN93" s="704"/>
      <c r="SO93" s="704"/>
      <c r="SP93" s="704"/>
      <c r="SQ93" s="704"/>
      <c r="SX93" s="704"/>
      <c r="SY93" s="704"/>
      <c r="SZ93" s="704"/>
      <c r="TA93" s="704"/>
      <c r="TB93" s="704"/>
      <c r="TC93" s="704"/>
      <c r="TD93" s="704"/>
      <c r="TE93" s="704"/>
      <c r="TF93" s="704"/>
      <c r="TG93" s="704"/>
      <c r="TH93" s="704"/>
      <c r="TI93" s="704"/>
      <c r="TJ93" s="704"/>
      <c r="TK93" s="704"/>
      <c r="TL93" s="704"/>
      <c r="TM93" s="704"/>
      <c r="TN93" s="704"/>
      <c r="TO93" s="704"/>
      <c r="TP93" s="704"/>
      <c r="TQ93" s="704"/>
      <c r="TR93" s="704"/>
      <c r="TS93" s="704"/>
      <c r="TT93" s="704"/>
      <c r="TU93" s="704"/>
      <c r="TV93" s="704"/>
      <c r="TW93" s="704"/>
      <c r="TX93" s="704"/>
      <c r="TY93" s="704"/>
      <c r="TZ93" s="704"/>
      <c r="UA93" s="704"/>
      <c r="UB93" s="704"/>
      <c r="UC93" s="704"/>
      <c r="UD93" s="704"/>
      <c r="UE93" s="704"/>
      <c r="UF93" s="704"/>
      <c r="UG93" s="704"/>
      <c r="UH93" s="704"/>
      <c r="UI93" s="704"/>
      <c r="UJ93" s="704"/>
      <c r="UK93" s="704"/>
      <c r="UL93" s="704"/>
      <c r="UM93" s="704"/>
      <c r="UN93" s="704"/>
      <c r="UO93" s="704"/>
      <c r="UP93" s="704"/>
      <c r="UQ93" s="704"/>
      <c r="UR93" s="704"/>
      <c r="US93" s="704"/>
      <c r="UT93" s="704"/>
      <c r="UU93" s="704"/>
      <c r="UV93" s="704"/>
      <c r="UW93" s="704"/>
      <c r="UX93" s="704"/>
      <c r="UY93" s="704"/>
      <c r="UZ93" s="704"/>
      <c r="VA93" s="704"/>
      <c r="VB93" s="704"/>
      <c r="VC93" s="704"/>
      <c r="VD93" s="704"/>
      <c r="VE93" s="704"/>
      <c r="VF93" s="704"/>
      <c r="VG93" s="704"/>
      <c r="VH93" s="704"/>
      <c r="VI93" s="704"/>
      <c r="VJ93" s="704"/>
      <c r="VK93" s="704"/>
      <c r="VL93" s="704"/>
      <c r="VM93" s="704"/>
      <c r="VN93" s="704"/>
      <c r="VO93" s="704"/>
      <c r="VP93" s="704"/>
      <c r="VQ93" s="704"/>
      <c r="VR93" s="704"/>
      <c r="VS93" s="704"/>
      <c r="VT93" s="704"/>
      <c r="VU93" s="704"/>
      <c r="VV93" s="704"/>
      <c r="VW93" s="704"/>
      <c r="VX93" s="704"/>
      <c r="VY93" s="704"/>
      <c r="VZ93" s="704"/>
      <c r="WA93" s="704"/>
      <c r="WB93" s="704"/>
      <c r="WC93" s="704"/>
      <c r="WD93" s="704"/>
      <c r="WE93" s="704"/>
      <c r="WF93" s="704"/>
      <c r="WG93" s="704"/>
      <c r="WH93" s="704"/>
      <c r="WI93" s="704"/>
      <c r="WJ93" s="704"/>
      <c r="WK93" s="704"/>
      <c r="WL93" s="704"/>
      <c r="WM93" s="704"/>
      <c r="WN93" s="704"/>
      <c r="WO93" s="704"/>
      <c r="WP93" s="704"/>
      <c r="WQ93" s="704"/>
      <c r="WR93" s="704"/>
      <c r="WS93" s="704"/>
      <c r="WT93" s="704"/>
      <c r="WU93" s="704"/>
      <c r="WV93" s="704"/>
      <c r="WW93" s="704"/>
      <c r="WX93" s="704"/>
      <c r="WY93" s="704"/>
      <c r="WZ93" s="704"/>
      <c r="XA93" s="704"/>
      <c r="XB93" s="704"/>
      <c r="XC93" s="704"/>
      <c r="XD93" s="704"/>
      <c r="XE93" s="704"/>
      <c r="XF93" s="704"/>
      <c r="XG93" s="704"/>
      <c r="XH93" s="704"/>
      <c r="XI93" s="704"/>
      <c r="XJ93" s="704"/>
      <c r="XK93" s="704"/>
      <c r="XL93" s="704"/>
      <c r="XM93" s="704"/>
      <c r="XN93" s="704"/>
      <c r="XO93" s="704"/>
      <c r="XP93" s="704"/>
      <c r="XQ93" s="704"/>
      <c r="XR93" s="704"/>
      <c r="XS93" s="704"/>
      <c r="XT93" s="704"/>
      <c r="XU93" s="704"/>
      <c r="XV93" s="704"/>
      <c r="XW93" s="704"/>
      <c r="XX93" s="704"/>
      <c r="XY93" s="704"/>
      <c r="XZ93" s="704"/>
      <c r="YA93" s="704"/>
      <c r="YB93" s="704"/>
      <c r="YC93" s="704"/>
      <c r="YD93" s="704"/>
      <c r="YE93" s="704"/>
      <c r="YF93" s="704"/>
      <c r="YG93" s="704"/>
      <c r="YH93" s="704"/>
      <c r="YI93" s="704"/>
      <c r="YJ93" s="704"/>
      <c r="YK93" s="704"/>
      <c r="YL93" s="704"/>
      <c r="YM93" s="704"/>
      <c r="YN93" s="704"/>
      <c r="YO93" s="704"/>
      <c r="YP93" s="704"/>
      <c r="YQ93" s="704"/>
      <c r="YR93" s="704"/>
      <c r="YS93" s="704"/>
      <c r="YT93" s="704"/>
      <c r="YU93" s="704"/>
      <c r="YV93" s="704"/>
      <c r="YW93" s="704"/>
      <c r="YX93" s="704"/>
      <c r="YY93" s="704"/>
      <c r="YZ93" s="704"/>
      <c r="ZA93" s="704"/>
      <c r="ZB93" s="704"/>
      <c r="ZC93" s="704"/>
      <c r="ZD93" s="704"/>
      <c r="ZE93" s="704"/>
      <c r="ZF93" s="704"/>
      <c r="ZG93" s="704"/>
      <c r="ZH93" s="704"/>
      <c r="ZI93" s="704"/>
      <c r="ZJ93" s="704"/>
      <c r="ZK93" s="704"/>
      <c r="ZL93" s="704"/>
      <c r="ZM93" s="704"/>
      <c r="ZN93" s="704"/>
      <c r="ZO93" s="704"/>
      <c r="ZP93" s="704"/>
      <c r="ZQ93" s="704"/>
      <c r="ZR93" s="704"/>
      <c r="ZS93" s="704"/>
      <c r="ZT93" s="704"/>
      <c r="ZU93" s="704"/>
      <c r="ZV93" s="704"/>
      <c r="ZW93" s="704"/>
      <c r="ZX93" s="704"/>
      <c r="ZY93" s="704"/>
      <c r="ZZ93" s="704"/>
      <c r="AAA93" s="704"/>
      <c r="AAB93" s="704"/>
      <c r="AAC93" s="704"/>
      <c r="AAD93" s="704"/>
      <c r="AAE93" s="704"/>
      <c r="AAF93" s="704"/>
      <c r="AAG93" s="704"/>
      <c r="AAH93" s="704"/>
      <c r="AAI93" s="704"/>
      <c r="AAJ93" s="704"/>
      <c r="AAK93" s="704"/>
      <c r="AAL93" s="704"/>
      <c r="AAM93" s="704"/>
      <c r="AAN93" s="704"/>
      <c r="AAO93" s="704"/>
      <c r="AAP93" s="704"/>
      <c r="AAQ93" s="704"/>
      <c r="AAR93" s="704"/>
      <c r="AAS93" s="704"/>
      <c r="AAT93" s="704"/>
      <c r="AAU93" s="704"/>
      <c r="AAV93" s="704"/>
      <c r="AAW93" s="704"/>
      <c r="AAX93" s="704"/>
      <c r="AAY93" s="704"/>
      <c r="AAZ93" s="704"/>
      <c r="ABA93" s="704"/>
      <c r="ABB93" s="704"/>
      <c r="ABC93" s="704"/>
      <c r="ABD93" s="704"/>
      <c r="ABE93" s="704"/>
      <c r="ABF93" s="704"/>
      <c r="ABG93" s="704"/>
      <c r="ABH93" s="704"/>
      <c r="ABI93" s="704"/>
      <c r="ABJ93" s="704"/>
      <c r="ABK93" s="704"/>
      <c r="ABL93" s="704"/>
      <c r="ABM93" s="704"/>
      <c r="ABN93" s="704"/>
      <c r="ABO93" s="704"/>
      <c r="ABP93" s="704"/>
      <c r="ABQ93" s="704"/>
      <c r="ABR93" s="704"/>
      <c r="ABS93" s="704"/>
      <c r="ABT93" s="704"/>
      <c r="ABU93" s="704"/>
      <c r="ABV93" s="704"/>
      <c r="ABW93" s="704"/>
      <c r="ABX93" s="704"/>
      <c r="ABY93" s="704"/>
      <c r="ABZ93" s="704"/>
      <c r="ACA93" s="704"/>
      <c r="ACB93" s="704"/>
      <c r="ACC93" s="704"/>
      <c r="ACD93" s="704"/>
      <c r="ACE93" s="704"/>
      <c r="ACF93" s="704"/>
      <c r="ACG93" s="704"/>
      <c r="ACH93" s="704"/>
      <c r="ACI93" s="704"/>
      <c r="ACJ93" s="704"/>
      <c r="ACK93" s="704"/>
      <c r="ACL93" s="704"/>
      <c r="ACM93" s="704"/>
      <c r="ACT93" s="704"/>
      <c r="ACU93" s="704"/>
      <c r="ACV93" s="704"/>
      <c r="ACW93" s="704"/>
      <c r="ACX93" s="704"/>
      <c r="ACY93" s="704"/>
      <c r="ACZ93" s="704"/>
      <c r="ADA93" s="704"/>
      <c r="ADB93" s="704"/>
      <c r="ADC93" s="704"/>
      <c r="ADD93" s="704"/>
      <c r="ADE93" s="704"/>
      <c r="ADF93" s="704"/>
      <c r="ADG93" s="704"/>
      <c r="ADH93" s="704"/>
      <c r="ADI93" s="704"/>
      <c r="ADJ93" s="704"/>
      <c r="ADK93" s="704"/>
      <c r="ADL93" s="704"/>
      <c r="ADM93" s="704"/>
      <c r="ADN93" s="704"/>
      <c r="ADO93" s="704"/>
      <c r="ADP93" s="704"/>
      <c r="ADQ93" s="704"/>
      <c r="ADR93" s="704"/>
      <c r="ADS93" s="704"/>
      <c r="ADT93" s="704"/>
      <c r="ADU93" s="704"/>
      <c r="ADV93" s="704"/>
      <c r="ADW93" s="704"/>
      <c r="ADX93" s="704"/>
      <c r="ADY93" s="704"/>
      <c r="ADZ93" s="704"/>
      <c r="AEA93" s="704"/>
      <c r="AEB93" s="704"/>
      <c r="AEC93" s="704"/>
      <c r="AED93" s="704"/>
      <c r="AEE93" s="704"/>
      <c r="AEF93" s="704"/>
      <c r="AEG93" s="704"/>
      <c r="AEH93" s="704"/>
      <c r="AEI93" s="704"/>
      <c r="AEJ93" s="704"/>
      <c r="AEK93" s="704"/>
      <c r="AEL93" s="704"/>
      <c r="AEM93" s="704"/>
      <c r="AEN93" s="704"/>
      <c r="AEO93" s="704"/>
      <c r="AEP93" s="704"/>
      <c r="AEQ93" s="704"/>
      <c r="AER93" s="704"/>
      <c r="AES93" s="704"/>
      <c r="AET93" s="704"/>
      <c r="AEU93" s="704"/>
      <c r="AEV93" s="704"/>
      <c r="AEW93" s="704"/>
      <c r="AEX93" s="704"/>
      <c r="AEY93" s="704"/>
      <c r="AEZ93" s="704"/>
      <c r="AFA93" s="704"/>
      <c r="AFB93" s="704"/>
      <c r="AFC93" s="704"/>
      <c r="AFD93" s="704"/>
      <c r="AFE93" s="704"/>
      <c r="AFF93" s="704"/>
      <c r="AFG93" s="704"/>
      <c r="AFH93" s="704"/>
      <c r="AFI93" s="704"/>
      <c r="AFJ93" s="704"/>
      <c r="AFK93" s="704"/>
      <c r="AFL93" s="704"/>
      <c r="AFM93" s="704"/>
      <c r="AFN93" s="704"/>
      <c r="AFO93" s="704"/>
      <c r="AFP93" s="704"/>
      <c r="AFQ93" s="704"/>
      <c r="AFR93" s="704"/>
      <c r="AFS93" s="704"/>
      <c r="AFT93" s="704"/>
      <c r="AFU93" s="704"/>
      <c r="AFV93" s="704"/>
      <c r="AFW93" s="704"/>
      <c r="AFX93" s="704"/>
      <c r="AFY93" s="704"/>
      <c r="AFZ93" s="704"/>
      <c r="AGA93" s="704"/>
      <c r="AGB93" s="704"/>
      <c r="AGC93" s="704"/>
      <c r="AGD93" s="704"/>
      <c r="AGE93" s="704"/>
      <c r="AGF93" s="704"/>
      <c r="AGG93" s="704"/>
      <c r="AGH93" s="704"/>
      <c r="AGI93" s="704"/>
      <c r="AGJ93" s="704"/>
      <c r="AGK93" s="704"/>
      <c r="AGL93" s="704"/>
      <c r="AGM93" s="704"/>
      <c r="AGN93" s="704"/>
      <c r="AGO93" s="704"/>
      <c r="AGP93" s="704"/>
      <c r="AGQ93" s="704"/>
      <c r="AGR93" s="704"/>
      <c r="AGS93" s="704"/>
      <c r="AGT93" s="704"/>
      <c r="AGU93" s="704"/>
      <c r="AGV93" s="704"/>
      <c r="AGW93" s="704"/>
      <c r="AGX93" s="704"/>
      <c r="AGY93" s="704"/>
      <c r="AGZ93" s="704"/>
      <c r="AHA93" s="704"/>
      <c r="AHB93" s="704"/>
      <c r="AHC93" s="704"/>
      <c r="AHD93" s="704"/>
      <c r="AHE93" s="704"/>
      <c r="AHF93" s="704"/>
      <c r="AHG93" s="704"/>
      <c r="AHH93" s="704"/>
      <c r="AHI93" s="704"/>
      <c r="AHJ93" s="704"/>
      <c r="AHK93" s="704"/>
      <c r="AHL93" s="704"/>
      <c r="AHM93" s="704"/>
      <c r="AHN93" s="704"/>
      <c r="AHO93" s="704"/>
      <c r="AHP93" s="704"/>
      <c r="AHQ93" s="704"/>
      <c r="AHR93" s="704"/>
      <c r="AHS93" s="704"/>
      <c r="AHT93" s="704"/>
      <c r="AHU93" s="704"/>
      <c r="AHV93" s="704"/>
      <c r="AHW93" s="704"/>
      <c r="AHX93" s="704"/>
      <c r="AHY93" s="704"/>
      <c r="AHZ93" s="704"/>
      <c r="AIA93" s="704"/>
      <c r="AIB93" s="704"/>
      <c r="AIC93" s="704"/>
      <c r="AID93" s="704"/>
      <c r="AIE93" s="704"/>
      <c r="AIF93" s="704"/>
      <c r="AIG93" s="704"/>
      <c r="AIH93" s="704"/>
      <c r="AII93" s="704"/>
      <c r="AIJ93" s="704"/>
      <c r="AIK93" s="704"/>
      <c r="AIL93" s="704"/>
      <c r="AIM93" s="704"/>
      <c r="AIN93" s="704"/>
      <c r="AIO93" s="704"/>
      <c r="AIP93" s="704"/>
      <c r="AIQ93" s="704"/>
      <c r="AIR93" s="704"/>
      <c r="AIS93" s="704"/>
      <c r="AIT93" s="704"/>
      <c r="AIU93" s="704"/>
      <c r="AIV93" s="704"/>
      <c r="AIW93" s="704"/>
      <c r="AIX93" s="704"/>
      <c r="AIY93" s="704"/>
      <c r="AIZ93" s="704"/>
      <c r="AJA93" s="704"/>
      <c r="AJB93" s="704"/>
      <c r="AJC93" s="704"/>
      <c r="AJD93" s="704"/>
      <c r="AJE93" s="704"/>
      <c r="AJF93" s="704"/>
      <c r="AJG93" s="704"/>
      <c r="AJH93" s="704"/>
      <c r="AJI93" s="704"/>
      <c r="AJJ93" s="704"/>
      <c r="AJK93" s="704"/>
      <c r="AJL93" s="704"/>
      <c r="AJM93" s="704"/>
      <c r="AJN93" s="704"/>
      <c r="AJO93" s="704"/>
      <c r="AJP93" s="704"/>
      <c r="AJQ93" s="704"/>
      <c r="AJR93" s="704"/>
      <c r="AJS93" s="704"/>
      <c r="AJT93" s="704"/>
      <c r="AJU93" s="704"/>
      <c r="AJV93" s="704"/>
      <c r="AJW93" s="704"/>
      <c r="AJX93" s="704"/>
      <c r="AJY93" s="704"/>
      <c r="AJZ93" s="704"/>
      <c r="AKA93" s="704"/>
      <c r="AKB93" s="704"/>
      <c r="AKC93" s="704"/>
      <c r="AKD93" s="704"/>
      <c r="AKE93" s="704"/>
      <c r="AKF93" s="704"/>
      <c r="AKG93" s="704"/>
      <c r="AKH93" s="704"/>
      <c r="AKI93" s="704"/>
      <c r="AKJ93" s="704"/>
      <c r="AKK93" s="704"/>
      <c r="AKL93" s="704"/>
      <c r="AKM93" s="704"/>
      <c r="AKN93" s="704"/>
      <c r="AKO93" s="704"/>
      <c r="AKP93" s="704"/>
      <c r="AKQ93" s="704"/>
      <c r="AKR93" s="704"/>
      <c r="AKS93" s="704"/>
      <c r="AKT93" s="704"/>
      <c r="AKU93" s="704"/>
      <c r="AKV93" s="704"/>
      <c r="AKW93" s="704"/>
      <c r="AKX93" s="704"/>
      <c r="AKY93" s="704"/>
      <c r="AKZ93" s="704"/>
      <c r="ALA93" s="704"/>
      <c r="ALB93" s="704"/>
      <c r="ALC93" s="704"/>
      <c r="ALD93" s="704"/>
      <c r="ALE93" s="704"/>
      <c r="ALF93" s="704"/>
      <c r="ALG93" s="704"/>
      <c r="ALH93" s="704"/>
      <c r="ALI93" s="704"/>
      <c r="ALJ93" s="704"/>
      <c r="ALK93" s="704"/>
      <c r="ALL93" s="704"/>
      <c r="ALM93" s="704"/>
      <c r="ALN93" s="704"/>
      <c r="ALO93" s="704"/>
      <c r="ALP93" s="704"/>
      <c r="ALQ93" s="704"/>
      <c r="ALR93" s="704"/>
      <c r="ALS93" s="704"/>
      <c r="ALT93" s="704"/>
      <c r="ALU93" s="704"/>
      <c r="ALV93" s="704"/>
      <c r="ALW93" s="704"/>
      <c r="ALX93" s="704"/>
      <c r="ALY93" s="704"/>
      <c r="ALZ93" s="704"/>
      <c r="AMA93" s="704"/>
      <c r="AMB93" s="704"/>
      <c r="AMC93" s="704"/>
      <c r="AMD93" s="704"/>
      <c r="AME93" s="704"/>
      <c r="AMF93" s="704"/>
      <c r="AMG93" s="704"/>
      <c r="AMH93" s="704"/>
      <c r="AMI93" s="704"/>
      <c r="AMP93" s="704"/>
      <c r="AMQ93" s="704"/>
      <c r="AMR93" s="704"/>
      <c r="AMS93" s="704"/>
      <c r="AMT93" s="704"/>
      <c r="AMU93" s="704"/>
      <c r="AMV93" s="704"/>
      <c r="AMW93" s="704"/>
      <c r="AMX93" s="704"/>
      <c r="AMY93" s="704"/>
      <c r="AMZ93" s="704"/>
      <c r="ANA93" s="704"/>
      <c r="ANB93" s="704"/>
      <c r="ANC93" s="704"/>
      <c r="AND93" s="704"/>
      <c r="ANE93" s="704"/>
      <c r="ANF93" s="704"/>
      <c r="ANG93" s="704"/>
      <c r="ANH93" s="704"/>
      <c r="ANI93" s="704"/>
      <c r="ANJ93" s="704"/>
      <c r="ANK93" s="704"/>
      <c r="ANL93" s="704"/>
      <c r="ANM93" s="704"/>
      <c r="ANN93" s="704"/>
      <c r="ANO93" s="704"/>
      <c r="ANP93" s="704"/>
      <c r="ANQ93" s="704"/>
      <c r="ANR93" s="704"/>
      <c r="ANS93" s="704"/>
      <c r="ANT93" s="704"/>
      <c r="ANU93" s="704"/>
      <c r="ANV93" s="704"/>
      <c r="ANW93" s="704"/>
      <c r="ANX93" s="704"/>
      <c r="ANY93" s="704"/>
      <c r="ANZ93" s="704"/>
      <c r="AOA93" s="704"/>
      <c r="AOB93" s="704"/>
      <c r="AOC93" s="704"/>
      <c r="AOD93" s="704"/>
      <c r="AOE93" s="704"/>
      <c r="AOF93" s="704"/>
      <c r="AOG93" s="704"/>
      <c r="AOH93" s="704"/>
      <c r="AOI93" s="704"/>
      <c r="AOJ93" s="704"/>
      <c r="AOK93" s="704"/>
      <c r="AOL93" s="704"/>
      <c r="AOM93" s="704"/>
      <c r="AON93" s="704"/>
      <c r="AOO93" s="704"/>
      <c r="AOP93" s="704"/>
      <c r="AOQ93" s="704"/>
      <c r="AOR93" s="704"/>
      <c r="AOS93" s="704"/>
      <c r="AOT93" s="704"/>
      <c r="AOU93" s="704"/>
      <c r="AOV93" s="704"/>
      <c r="AOW93" s="704"/>
      <c r="AOX93" s="704"/>
      <c r="AOY93" s="704"/>
      <c r="AOZ93" s="704"/>
      <c r="APA93" s="704"/>
      <c r="APB93" s="704"/>
      <c r="APC93" s="704"/>
      <c r="APD93" s="704"/>
      <c r="APE93" s="704"/>
      <c r="APF93" s="704"/>
      <c r="APG93" s="704"/>
      <c r="APH93" s="704"/>
      <c r="API93" s="704"/>
      <c r="APJ93" s="704"/>
      <c r="APK93" s="704"/>
      <c r="APL93" s="704"/>
      <c r="APM93" s="704"/>
      <c r="APN93" s="704"/>
      <c r="APO93" s="704"/>
      <c r="APP93" s="704"/>
      <c r="APQ93" s="704"/>
      <c r="APR93" s="704"/>
      <c r="APS93" s="704"/>
      <c r="APT93" s="704"/>
      <c r="APU93" s="704"/>
      <c r="APV93" s="704"/>
      <c r="APW93" s="704"/>
      <c r="APX93" s="704"/>
      <c r="APY93" s="704"/>
      <c r="APZ93" s="704"/>
      <c r="AQA93" s="704"/>
      <c r="AQB93" s="704"/>
      <c r="AQC93" s="704"/>
      <c r="AQD93" s="704"/>
      <c r="AQE93" s="704"/>
      <c r="AQF93" s="704"/>
      <c r="AQG93" s="704"/>
      <c r="AQH93" s="704"/>
      <c r="AQI93" s="704"/>
      <c r="AQJ93" s="704"/>
      <c r="AQK93" s="704"/>
      <c r="AQL93" s="704"/>
      <c r="AQM93" s="704"/>
      <c r="AQN93" s="704"/>
      <c r="AQO93" s="704"/>
      <c r="AQP93" s="704"/>
      <c r="AQQ93" s="704"/>
      <c r="AQR93" s="704"/>
      <c r="AQS93" s="704"/>
      <c r="AQT93" s="704"/>
      <c r="AQU93" s="704"/>
      <c r="AQV93" s="704"/>
      <c r="AQW93" s="704"/>
      <c r="AQX93" s="704"/>
      <c r="AQY93" s="704"/>
      <c r="AQZ93" s="704"/>
      <c r="ARA93" s="704"/>
      <c r="ARB93" s="704"/>
      <c r="ARC93" s="704"/>
      <c r="ARD93" s="704"/>
      <c r="ARE93" s="704"/>
      <c r="ARF93" s="704"/>
      <c r="ARG93" s="704"/>
      <c r="ARH93" s="704"/>
      <c r="ARI93" s="704"/>
      <c r="ARJ93" s="704"/>
      <c r="ARK93" s="704"/>
      <c r="ARL93" s="704"/>
      <c r="ARM93" s="704"/>
      <c r="ARN93" s="704"/>
      <c r="ARO93" s="704"/>
      <c r="ARP93" s="704"/>
      <c r="ARQ93" s="704"/>
      <c r="ARR93" s="704"/>
      <c r="ARS93" s="704"/>
      <c r="ART93" s="704"/>
      <c r="ARU93" s="704"/>
      <c r="ARV93" s="704"/>
      <c r="ARW93" s="704"/>
      <c r="ARX93" s="704"/>
      <c r="ARY93" s="704"/>
      <c r="ARZ93" s="704"/>
      <c r="ASA93" s="704"/>
      <c r="ASB93" s="704"/>
      <c r="ASC93" s="704"/>
      <c r="ASD93" s="704"/>
      <c r="ASE93" s="704"/>
      <c r="ASF93" s="704"/>
      <c r="ASG93" s="704"/>
      <c r="ASH93" s="704"/>
      <c r="ASI93" s="704"/>
      <c r="ASJ93" s="704"/>
      <c r="ASK93" s="704"/>
      <c r="ASL93" s="704"/>
      <c r="ASM93" s="704"/>
      <c r="ASN93" s="704"/>
      <c r="ASO93" s="704"/>
      <c r="ASP93" s="704"/>
      <c r="ASQ93" s="704"/>
      <c r="ASR93" s="704"/>
      <c r="ASS93" s="704"/>
      <c r="AST93" s="704"/>
      <c r="ASU93" s="704"/>
      <c r="ASV93" s="704"/>
      <c r="ASW93" s="704"/>
      <c r="ASX93" s="704"/>
      <c r="ASY93" s="704"/>
      <c r="ASZ93" s="704"/>
      <c r="ATA93" s="704"/>
      <c r="ATB93" s="704"/>
      <c r="ATC93" s="704"/>
      <c r="ATD93" s="704"/>
      <c r="ATE93" s="704"/>
      <c r="ATF93" s="704"/>
      <c r="ATG93" s="704"/>
      <c r="ATH93" s="704"/>
      <c r="ATI93" s="704"/>
      <c r="ATJ93" s="704"/>
      <c r="ATK93" s="704"/>
      <c r="ATL93" s="704"/>
      <c r="ATM93" s="704"/>
      <c r="ATN93" s="704"/>
      <c r="ATO93" s="704"/>
      <c r="ATP93" s="704"/>
      <c r="ATQ93" s="704"/>
      <c r="ATR93" s="704"/>
      <c r="ATS93" s="704"/>
      <c r="ATT93" s="704"/>
      <c r="ATU93" s="704"/>
      <c r="ATV93" s="704"/>
      <c r="ATW93" s="704"/>
      <c r="ATX93" s="704"/>
      <c r="ATY93" s="704"/>
      <c r="ATZ93" s="704"/>
      <c r="AUA93" s="704"/>
      <c r="AUB93" s="704"/>
      <c r="AUC93" s="704"/>
      <c r="AUD93" s="704"/>
      <c r="AUE93" s="704"/>
      <c r="AUF93" s="704"/>
      <c r="AUG93" s="704"/>
      <c r="AUH93" s="704"/>
      <c r="AUI93" s="704"/>
      <c r="AUJ93" s="704"/>
      <c r="AUK93" s="704"/>
      <c r="AUL93" s="704"/>
      <c r="AUM93" s="704"/>
      <c r="AUN93" s="704"/>
      <c r="AUO93" s="704"/>
      <c r="AUP93" s="704"/>
      <c r="AUQ93" s="704"/>
      <c r="AUR93" s="704"/>
      <c r="AUS93" s="704"/>
      <c r="AUT93" s="704"/>
      <c r="AUU93" s="704"/>
      <c r="AUV93" s="704"/>
      <c r="AUW93" s="704"/>
      <c r="AUX93" s="704"/>
      <c r="AUY93" s="704"/>
      <c r="AUZ93" s="704"/>
      <c r="AVA93" s="704"/>
      <c r="AVB93" s="704"/>
      <c r="AVC93" s="704"/>
      <c r="AVD93" s="704"/>
      <c r="AVE93" s="704"/>
      <c r="AVF93" s="704"/>
      <c r="AVG93" s="704"/>
      <c r="AVH93" s="704"/>
      <c r="AVI93" s="704"/>
      <c r="AVJ93" s="704"/>
      <c r="AVK93" s="704"/>
      <c r="AVL93" s="704"/>
      <c r="AVM93" s="704"/>
      <c r="AVN93" s="704"/>
      <c r="AVO93" s="704"/>
      <c r="AVP93" s="704"/>
      <c r="AVQ93" s="704"/>
      <c r="AVR93" s="704"/>
      <c r="AVS93" s="704"/>
      <c r="AVT93" s="704"/>
      <c r="AVU93" s="704"/>
      <c r="AVV93" s="704"/>
      <c r="AVW93" s="704"/>
      <c r="AVX93" s="704"/>
      <c r="AVY93" s="704"/>
      <c r="AVZ93" s="704"/>
      <c r="AWA93" s="704"/>
      <c r="AWB93" s="704"/>
      <c r="AWC93" s="704"/>
      <c r="AWD93" s="704"/>
      <c r="AWE93" s="704"/>
      <c r="AWL93" s="704"/>
      <c r="AWM93" s="704"/>
      <c r="AWN93" s="704"/>
      <c r="AWO93" s="704"/>
      <c r="AWP93" s="704"/>
      <c r="AWQ93" s="704"/>
      <c r="AWR93" s="704"/>
      <c r="AWS93" s="704"/>
      <c r="AWT93" s="704"/>
      <c r="AWU93" s="704"/>
      <c r="AWV93" s="704"/>
      <c r="AWW93" s="704"/>
      <c r="AWX93" s="704"/>
      <c r="AWY93" s="704"/>
      <c r="AWZ93" s="704"/>
      <c r="AXA93" s="704"/>
      <c r="AXB93" s="704"/>
      <c r="AXC93" s="704"/>
      <c r="AXD93" s="704"/>
      <c r="AXE93" s="704"/>
      <c r="AXF93" s="704"/>
      <c r="AXG93" s="704"/>
      <c r="AXH93" s="704"/>
      <c r="AXI93" s="704"/>
      <c r="AXJ93" s="704"/>
      <c r="AXK93" s="704"/>
      <c r="AXL93" s="704"/>
      <c r="AXM93" s="704"/>
      <c r="AXN93" s="704"/>
      <c r="AXO93" s="704"/>
      <c r="AXP93" s="704"/>
      <c r="AXQ93" s="704"/>
      <c r="AXR93" s="704"/>
      <c r="AXS93" s="704"/>
      <c r="AXT93" s="704"/>
      <c r="AXU93" s="704"/>
      <c r="AXV93" s="704"/>
      <c r="AXW93" s="704"/>
      <c r="AXX93" s="704"/>
      <c r="AXY93" s="704"/>
      <c r="AXZ93" s="704"/>
      <c r="AYA93" s="704"/>
      <c r="AYB93" s="704"/>
      <c r="AYC93" s="704"/>
      <c r="AYD93" s="704"/>
      <c r="AYE93" s="704"/>
      <c r="AYF93" s="704"/>
      <c r="AYG93" s="704"/>
      <c r="AYH93" s="704"/>
      <c r="AYI93" s="704"/>
      <c r="AYJ93" s="704"/>
      <c r="AYK93" s="704"/>
      <c r="AYL93" s="704"/>
      <c r="AYM93" s="704"/>
      <c r="AYN93" s="704"/>
      <c r="AYO93" s="704"/>
      <c r="AYP93" s="704"/>
      <c r="AYQ93" s="704"/>
      <c r="AYR93" s="704"/>
      <c r="AYS93" s="704"/>
      <c r="AYT93" s="704"/>
      <c r="AYU93" s="704"/>
      <c r="AYV93" s="704"/>
      <c r="AYW93" s="704"/>
      <c r="AYX93" s="704"/>
      <c r="AYY93" s="704"/>
      <c r="AYZ93" s="704"/>
      <c r="AZA93" s="704"/>
      <c r="AZB93" s="704"/>
      <c r="AZC93" s="704"/>
      <c r="AZD93" s="704"/>
      <c r="AZE93" s="704"/>
      <c r="AZF93" s="704"/>
      <c r="AZG93" s="704"/>
      <c r="AZH93" s="704"/>
      <c r="AZI93" s="704"/>
      <c r="AZJ93" s="704"/>
      <c r="AZK93" s="704"/>
      <c r="AZL93" s="704"/>
      <c r="AZM93" s="704"/>
      <c r="AZN93" s="704"/>
      <c r="AZO93" s="704"/>
      <c r="AZP93" s="704"/>
      <c r="AZQ93" s="704"/>
      <c r="AZR93" s="704"/>
      <c r="AZS93" s="704"/>
      <c r="AZT93" s="704"/>
      <c r="AZU93" s="704"/>
      <c r="AZV93" s="704"/>
      <c r="AZW93" s="704"/>
      <c r="AZX93" s="704"/>
      <c r="AZY93" s="704"/>
      <c r="AZZ93" s="704"/>
      <c r="BAA93" s="704"/>
      <c r="BAB93" s="704"/>
      <c r="BAC93" s="704"/>
      <c r="BAD93" s="704"/>
      <c r="BAE93" s="704"/>
      <c r="BAF93" s="704"/>
      <c r="BAG93" s="704"/>
      <c r="BAH93" s="704"/>
      <c r="BAI93" s="704"/>
      <c r="BAJ93" s="704"/>
      <c r="BAK93" s="704"/>
      <c r="BAL93" s="704"/>
      <c r="BAM93" s="704"/>
      <c r="BAN93" s="704"/>
      <c r="BAO93" s="704"/>
      <c r="BAP93" s="704"/>
      <c r="BAQ93" s="704"/>
      <c r="BAR93" s="704"/>
      <c r="BAS93" s="704"/>
      <c r="BAT93" s="704"/>
      <c r="BAU93" s="704"/>
      <c r="BAV93" s="704"/>
      <c r="BAW93" s="704"/>
      <c r="BAX93" s="704"/>
      <c r="BAY93" s="704"/>
      <c r="BAZ93" s="704"/>
      <c r="BBA93" s="704"/>
      <c r="BBB93" s="704"/>
      <c r="BBC93" s="704"/>
      <c r="BBD93" s="704"/>
      <c r="BBE93" s="704"/>
      <c r="BBF93" s="704"/>
      <c r="BBG93" s="704"/>
      <c r="BBH93" s="704"/>
      <c r="BBI93" s="704"/>
      <c r="BBJ93" s="704"/>
      <c r="BBK93" s="704"/>
      <c r="BBL93" s="704"/>
      <c r="BBM93" s="704"/>
      <c r="BBN93" s="704"/>
      <c r="BBO93" s="704"/>
      <c r="BBP93" s="704"/>
      <c r="BBQ93" s="704"/>
      <c r="BBR93" s="704"/>
      <c r="BBS93" s="704"/>
      <c r="BBT93" s="704"/>
      <c r="BBU93" s="704"/>
      <c r="BBV93" s="704"/>
      <c r="BBW93" s="704"/>
      <c r="BBX93" s="704"/>
      <c r="BBY93" s="704"/>
      <c r="BBZ93" s="704"/>
      <c r="BCA93" s="704"/>
      <c r="BCB93" s="704"/>
      <c r="BCC93" s="704"/>
      <c r="BCD93" s="704"/>
      <c r="BCE93" s="704"/>
      <c r="BCF93" s="704"/>
      <c r="BCG93" s="704"/>
      <c r="BCH93" s="704"/>
      <c r="BCI93" s="704"/>
      <c r="BCJ93" s="704"/>
      <c r="BCK93" s="704"/>
      <c r="BCL93" s="704"/>
      <c r="BCM93" s="704"/>
      <c r="BCN93" s="704"/>
      <c r="BCO93" s="704"/>
      <c r="BCP93" s="704"/>
      <c r="BCQ93" s="704"/>
      <c r="BCR93" s="704"/>
      <c r="BCS93" s="704"/>
      <c r="BCT93" s="704"/>
      <c r="BCU93" s="704"/>
      <c r="BCV93" s="704"/>
      <c r="BCW93" s="704"/>
      <c r="BCX93" s="704"/>
      <c r="BCY93" s="704"/>
      <c r="BCZ93" s="704"/>
      <c r="BDA93" s="704"/>
      <c r="BDB93" s="704"/>
      <c r="BDC93" s="704"/>
      <c r="BDD93" s="704"/>
      <c r="BDE93" s="704"/>
      <c r="BDF93" s="704"/>
      <c r="BDG93" s="704"/>
      <c r="BDH93" s="704"/>
      <c r="BDI93" s="704"/>
      <c r="BDJ93" s="704"/>
      <c r="BDK93" s="704"/>
      <c r="BDL93" s="704"/>
      <c r="BDM93" s="704"/>
      <c r="BDN93" s="704"/>
      <c r="BDO93" s="704"/>
      <c r="BDP93" s="704"/>
      <c r="BDQ93" s="704"/>
      <c r="BDR93" s="704"/>
      <c r="BDS93" s="704"/>
      <c r="BDT93" s="704"/>
      <c r="BDU93" s="704"/>
      <c r="BDV93" s="704"/>
      <c r="BDW93" s="704"/>
      <c r="BDX93" s="704"/>
      <c r="BDY93" s="704"/>
      <c r="BDZ93" s="704"/>
      <c r="BEA93" s="704"/>
      <c r="BEB93" s="704"/>
      <c r="BEC93" s="704"/>
      <c r="BED93" s="704"/>
      <c r="BEE93" s="704"/>
      <c r="BEF93" s="704"/>
      <c r="BEG93" s="704"/>
      <c r="BEH93" s="704"/>
      <c r="BEI93" s="704"/>
      <c r="BEJ93" s="704"/>
      <c r="BEK93" s="704"/>
      <c r="BEL93" s="704"/>
      <c r="BEM93" s="704"/>
      <c r="BEN93" s="704"/>
      <c r="BEO93" s="704"/>
      <c r="BEP93" s="704"/>
      <c r="BEQ93" s="704"/>
      <c r="BER93" s="704"/>
      <c r="BES93" s="704"/>
      <c r="BET93" s="704"/>
      <c r="BEU93" s="704"/>
      <c r="BEV93" s="704"/>
      <c r="BEW93" s="704"/>
      <c r="BEX93" s="704"/>
      <c r="BEY93" s="704"/>
      <c r="BEZ93" s="704"/>
      <c r="BFA93" s="704"/>
      <c r="BFB93" s="704"/>
      <c r="BFC93" s="704"/>
      <c r="BFD93" s="704"/>
      <c r="BFE93" s="704"/>
      <c r="BFF93" s="704"/>
      <c r="BFG93" s="704"/>
      <c r="BFH93" s="704"/>
      <c r="BFI93" s="704"/>
      <c r="BFJ93" s="704"/>
      <c r="BFK93" s="704"/>
      <c r="BFL93" s="704"/>
      <c r="BFM93" s="704"/>
      <c r="BFN93" s="704"/>
      <c r="BFO93" s="704"/>
      <c r="BFP93" s="704"/>
      <c r="BFQ93" s="704"/>
      <c r="BFR93" s="704"/>
      <c r="BFS93" s="704"/>
      <c r="BFT93" s="704"/>
      <c r="BFU93" s="704"/>
      <c r="BFV93" s="704"/>
      <c r="BFW93" s="704"/>
      <c r="BFX93" s="704"/>
      <c r="BFY93" s="704"/>
      <c r="BFZ93" s="704"/>
      <c r="BGA93" s="704"/>
      <c r="BGH93" s="704"/>
      <c r="BGI93" s="704"/>
      <c r="BGJ93" s="704"/>
      <c r="BGK93" s="704"/>
      <c r="BGL93" s="704"/>
      <c r="BGM93" s="704"/>
      <c r="BGN93" s="704"/>
      <c r="BGO93" s="704"/>
      <c r="BGP93" s="704"/>
      <c r="BGQ93" s="704"/>
      <c r="BGR93" s="704"/>
      <c r="BGS93" s="704"/>
      <c r="BGT93" s="704"/>
      <c r="BGU93" s="704"/>
      <c r="BGV93" s="704"/>
      <c r="BGW93" s="704"/>
      <c r="BGX93" s="704"/>
      <c r="BGY93" s="704"/>
      <c r="BGZ93" s="704"/>
      <c r="BHA93" s="704"/>
      <c r="BHB93" s="704"/>
      <c r="BHC93" s="704"/>
      <c r="BHD93" s="704"/>
      <c r="BHE93" s="704"/>
      <c r="BHF93" s="704"/>
      <c r="BHG93" s="704"/>
      <c r="BHH93" s="704"/>
      <c r="BHI93" s="704"/>
      <c r="BHJ93" s="704"/>
      <c r="BHK93" s="704"/>
      <c r="BHL93" s="704"/>
      <c r="BHM93" s="704"/>
      <c r="BHN93" s="704"/>
      <c r="BHO93" s="704"/>
      <c r="BHP93" s="704"/>
      <c r="BHQ93" s="704"/>
      <c r="BHR93" s="704"/>
      <c r="BHS93" s="704"/>
      <c r="BHT93" s="704"/>
      <c r="BHU93" s="704"/>
      <c r="BHV93" s="704"/>
      <c r="BHW93" s="704"/>
      <c r="BHX93" s="704"/>
      <c r="BHY93" s="704"/>
      <c r="BHZ93" s="704"/>
      <c r="BIA93" s="704"/>
      <c r="BIB93" s="704"/>
      <c r="BIC93" s="704"/>
      <c r="BID93" s="704"/>
      <c r="BIE93" s="704"/>
      <c r="BIF93" s="704"/>
      <c r="BIG93" s="704"/>
      <c r="BIH93" s="704"/>
      <c r="BII93" s="704"/>
      <c r="BIJ93" s="704"/>
      <c r="BIK93" s="704"/>
      <c r="BIL93" s="704"/>
      <c r="BIM93" s="704"/>
      <c r="BIN93" s="704"/>
      <c r="BIO93" s="704"/>
      <c r="BIP93" s="704"/>
      <c r="BIQ93" s="704"/>
      <c r="BIR93" s="704"/>
      <c r="BIS93" s="704"/>
      <c r="BIT93" s="704"/>
      <c r="BIU93" s="704"/>
      <c r="BIV93" s="704"/>
      <c r="BIW93" s="704"/>
      <c r="BIX93" s="704"/>
      <c r="BIY93" s="704"/>
      <c r="BIZ93" s="704"/>
      <c r="BJA93" s="704"/>
      <c r="BJB93" s="704"/>
      <c r="BJC93" s="704"/>
      <c r="BJD93" s="704"/>
      <c r="BJE93" s="704"/>
      <c r="BJF93" s="704"/>
      <c r="BJG93" s="704"/>
      <c r="BJH93" s="704"/>
      <c r="BJI93" s="704"/>
      <c r="BJJ93" s="704"/>
      <c r="BJK93" s="704"/>
      <c r="BJL93" s="704"/>
      <c r="BJM93" s="704"/>
      <c r="BJN93" s="704"/>
      <c r="BJO93" s="704"/>
      <c r="BJP93" s="704"/>
      <c r="BJQ93" s="704"/>
      <c r="BJR93" s="704"/>
      <c r="BJS93" s="704"/>
      <c r="BJT93" s="704"/>
      <c r="BJU93" s="704"/>
      <c r="BJV93" s="704"/>
      <c r="BJW93" s="704"/>
      <c r="BJX93" s="704"/>
      <c r="BJY93" s="704"/>
      <c r="BJZ93" s="704"/>
      <c r="BKA93" s="704"/>
      <c r="BKB93" s="704"/>
      <c r="BKC93" s="704"/>
      <c r="BKD93" s="704"/>
      <c r="BKE93" s="704"/>
      <c r="BKF93" s="704"/>
      <c r="BKG93" s="704"/>
      <c r="BKH93" s="704"/>
      <c r="BKI93" s="704"/>
      <c r="BKJ93" s="704"/>
      <c r="BKK93" s="704"/>
      <c r="BKL93" s="704"/>
      <c r="BKM93" s="704"/>
      <c r="BKN93" s="704"/>
      <c r="BKO93" s="704"/>
      <c r="BKP93" s="704"/>
      <c r="BKQ93" s="704"/>
      <c r="BKR93" s="704"/>
      <c r="BKS93" s="704"/>
      <c r="BKT93" s="704"/>
      <c r="BKU93" s="704"/>
      <c r="BKV93" s="704"/>
      <c r="BKW93" s="704"/>
      <c r="BKX93" s="704"/>
      <c r="BKY93" s="704"/>
      <c r="BKZ93" s="704"/>
      <c r="BLA93" s="704"/>
      <c r="BLB93" s="704"/>
      <c r="BLC93" s="704"/>
      <c r="BLD93" s="704"/>
      <c r="BLE93" s="704"/>
      <c r="BLF93" s="704"/>
      <c r="BLG93" s="704"/>
      <c r="BLH93" s="704"/>
      <c r="BLI93" s="704"/>
      <c r="BLJ93" s="704"/>
      <c r="BLK93" s="704"/>
      <c r="BLL93" s="704"/>
      <c r="BLM93" s="704"/>
      <c r="BLN93" s="704"/>
      <c r="BLO93" s="704"/>
      <c r="BLP93" s="704"/>
      <c r="BLQ93" s="704"/>
      <c r="BLR93" s="704"/>
      <c r="BLS93" s="704"/>
      <c r="BLT93" s="704"/>
      <c r="BLU93" s="704"/>
      <c r="BLV93" s="704"/>
      <c r="BLW93" s="704"/>
      <c r="BLX93" s="704"/>
      <c r="BLY93" s="704"/>
      <c r="BLZ93" s="704"/>
      <c r="BMA93" s="704"/>
      <c r="BMB93" s="704"/>
      <c r="BMC93" s="704"/>
      <c r="BMD93" s="704"/>
      <c r="BME93" s="704"/>
      <c r="BMF93" s="704"/>
      <c r="BMG93" s="704"/>
      <c r="BMH93" s="704"/>
      <c r="BMI93" s="704"/>
      <c r="BMJ93" s="704"/>
      <c r="BMK93" s="704"/>
      <c r="BML93" s="704"/>
      <c r="BMM93" s="704"/>
      <c r="BMN93" s="704"/>
      <c r="BMO93" s="704"/>
      <c r="BMP93" s="704"/>
      <c r="BMQ93" s="704"/>
      <c r="BMR93" s="704"/>
      <c r="BMS93" s="704"/>
      <c r="BMT93" s="704"/>
      <c r="BMU93" s="704"/>
      <c r="BMV93" s="704"/>
      <c r="BMW93" s="704"/>
      <c r="BMX93" s="704"/>
      <c r="BMY93" s="704"/>
      <c r="BMZ93" s="704"/>
      <c r="BNA93" s="704"/>
      <c r="BNB93" s="704"/>
      <c r="BNC93" s="704"/>
      <c r="BND93" s="704"/>
      <c r="BNE93" s="704"/>
      <c r="BNF93" s="704"/>
      <c r="BNG93" s="704"/>
      <c r="BNH93" s="704"/>
      <c r="BNI93" s="704"/>
      <c r="BNJ93" s="704"/>
      <c r="BNK93" s="704"/>
      <c r="BNL93" s="704"/>
      <c r="BNM93" s="704"/>
      <c r="BNN93" s="704"/>
      <c r="BNO93" s="704"/>
      <c r="BNP93" s="704"/>
      <c r="BNQ93" s="704"/>
      <c r="BNR93" s="704"/>
      <c r="BNS93" s="704"/>
      <c r="BNT93" s="704"/>
      <c r="BNU93" s="704"/>
      <c r="BNV93" s="704"/>
      <c r="BNW93" s="704"/>
      <c r="BNX93" s="704"/>
      <c r="BNY93" s="704"/>
      <c r="BNZ93" s="704"/>
      <c r="BOA93" s="704"/>
      <c r="BOB93" s="704"/>
      <c r="BOC93" s="704"/>
      <c r="BOD93" s="704"/>
      <c r="BOE93" s="704"/>
      <c r="BOF93" s="704"/>
      <c r="BOG93" s="704"/>
      <c r="BOH93" s="704"/>
      <c r="BOI93" s="704"/>
      <c r="BOJ93" s="704"/>
      <c r="BOK93" s="704"/>
      <c r="BOL93" s="704"/>
      <c r="BOM93" s="704"/>
      <c r="BON93" s="704"/>
      <c r="BOO93" s="704"/>
      <c r="BOP93" s="704"/>
      <c r="BOQ93" s="704"/>
      <c r="BOR93" s="704"/>
      <c r="BOS93" s="704"/>
      <c r="BOT93" s="704"/>
      <c r="BOU93" s="704"/>
      <c r="BOV93" s="704"/>
      <c r="BOW93" s="704"/>
      <c r="BOX93" s="704"/>
      <c r="BOY93" s="704"/>
      <c r="BOZ93" s="704"/>
      <c r="BPA93" s="704"/>
      <c r="BPB93" s="704"/>
      <c r="BPC93" s="704"/>
      <c r="BPD93" s="704"/>
      <c r="BPE93" s="704"/>
      <c r="BPF93" s="704"/>
      <c r="BPG93" s="704"/>
      <c r="BPH93" s="704"/>
      <c r="BPI93" s="704"/>
      <c r="BPJ93" s="704"/>
      <c r="BPK93" s="704"/>
      <c r="BPL93" s="704"/>
      <c r="BPM93" s="704"/>
      <c r="BPN93" s="704"/>
      <c r="BPO93" s="704"/>
      <c r="BPP93" s="704"/>
      <c r="BPQ93" s="704"/>
      <c r="BPR93" s="704"/>
      <c r="BPS93" s="704"/>
      <c r="BPT93" s="704"/>
      <c r="BPU93" s="704"/>
      <c r="BPV93" s="704"/>
      <c r="BPW93" s="704"/>
      <c r="BQD93" s="704"/>
      <c r="BQE93" s="704"/>
      <c r="BQF93" s="704"/>
      <c r="BQG93" s="704"/>
      <c r="BQH93" s="704"/>
      <c r="BQI93" s="704"/>
      <c r="BQJ93" s="704"/>
      <c r="BQK93" s="704"/>
      <c r="BQL93" s="704"/>
      <c r="BQM93" s="704"/>
      <c r="BQN93" s="704"/>
      <c r="BQO93" s="704"/>
      <c r="BQP93" s="704"/>
      <c r="BQQ93" s="704"/>
      <c r="BQR93" s="704"/>
      <c r="BQS93" s="704"/>
      <c r="BQT93" s="704"/>
      <c r="BQU93" s="704"/>
      <c r="BQV93" s="704"/>
      <c r="BQW93" s="704"/>
      <c r="BQX93" s="704"/>
      <c r="BQY93" s="704"/>
      <c r="BQZ93" s="704"/>
      <c r="BRA93" s="704"/>
      <c r="BRB93" s="704"/>
      <c r="BRC93" s="704"/>
      <c r="BRD93" s="704"/>
      <c r="BRE93" s="704"/>
      <c r="BRF93" s="704"/>
      <c r="BRG93" s="704"/>
      <c r="BRH93" s="704"/>
      <c r="BRI93" s="704"/>
      <c r="BRJ93" s="704"/>
      <c r="BRK93" s="704"/>
      <c r="BRL93" s="704"/>
      <c r="BRM93" s="704"/>
      <c r="BRN93" s="704"/>
      <c r="BRO93" s="704"/>
      <c r="BRP93" s="704"/>
      <c r="BRQ93" s="704"/>
      <c r="BRR93" s="704"/>
      <c r="BRS93" s="704"/>
      <c r="BRT93" s="704"/>
      <c r="BRU93" s="704"/>
      <c r="BRV93" s="704"/>
      <c r="BRW93" s="704"/>
      <c r="BRX93" s="704"/>
      <c r="BRY93" s="704"/>
      <c r="BRZ93" s="704"/>
      <c r="BSA93" s="704"/>
      <c r="BSB93" s="704"/>
      <c r="BSC93" s="704"/>
      <c r="BSD93" s="704"/>
      <c r="BSE93" s="704"/>
      <c r="BSF93" s="704"/>
      <c r="BSG93" s="704"/>
      <c r="BSH93" s="704"/>
      <c r="BSI93" s="704"/>
      <c r="BSJ93" s="704"/>
      <c r="BSK93" s="704"/>
      <c r="BSL93" s="704"/>
      <c r="BSM93" s="704"/>
      <c r="BSN93" s="704"/>
      <c r="BSO93" s="704"/>
      <c r="BSP93" s="704"/>
      <c r="BSQ93" s="704"/>
      <c r="BSR93" s="704"/>
      <c r="BSS93" s="704"/>
      <c r="BST93" s="704"/>
      <c r="BSU93" s="704"/>
      <c r="BSV93" s="704"/>
      <c r="BSW93" s="704"/>
      <c r="BSX93" s="704"/>
      <c r="BSY93" s="704"/>
      <c r="BSZ93" s="704"/>
      <c r="BTA93" s="704"/>
      <c r="BTB93" s="704"/>
      <c r="BTC93" s="704"/>
      <c r="BTD93" s="704"/>
      <c r="BTE93" s="704"/>
      <c r="BTF93" s="704"/>
      <c r="BTG93" s="704"/>
      <c r="BTH93" s="704"/>
      <c r="BTI93" s="704"/>
      <c r="BTJ93" s="704"/>
      <c r="BTK93" s="704"/>
      <c r="BTL93" s="704"/>
      <c r="BTM93" s="704"/>
      <c r="BTN93" s="704"/>
      <c r="BTO93" s="704"/>
      <c r="BTP93" s="704"/>
      <c r="BTQ93" s="704"/>
      <c r="BTR93" s="704"/>
      <c r="BTS93" s="704"/>
      <c r="BTT93" s="704"/>
      <c r="BTU93" s="704"/>
      <c r="BTV93" s="704"/>
      <c r="BTW93" s="704"/>
      <c r="BTX93" s="704"/>
      <c r="BTY93" s="704"/>
      <c r="BTZ93" s="704"/>
      <c r="BUA93" s="704"/>
      <c r="BUB93" s="704"/>
      <c r="BUC93" s="704"/>
      <c r="BUD93" s="704"/>
      <c r="BUE93" s="704"/>
      <c r="BUF93" s="704"/>
      <c r="BUG93" s="704"/>
      <c r="BUH93" s="704"/>
      <c r="BUI93" s="704"/>
      <c r="BUJ93" s="704"/>
      <c r="BUK93" s="704"/>
      <c r="BUL93" s="704"/>
      <c r="BUM93" s="704"/>
      <c r="BUN93" s="704"/>
      <c r="BUO93" s="704"/>
      <c r="BUP93" s="704"/>
      <c r="BUQ93" s="704"/>
      <c r="BUR93" s="704"/>
      <c r="BUS93" s="704"/>
      <c r="BUT93" s="704"/>
      <c r="BUU93" s="704"/>
      <c r="BUV93" s="704"/>
      <c r="BUW93" s="704"/>
      <c r="BUX93" s="704"/>
      <c r="BUY93" s="704"/>
      <c r="BUZ93" s="704"/>
      <c r="BVA93" s="704"/>
      <c r="BVB93" s="704"/>
      <c r="BVC93" s="704"/>
      <c r="BVD93" s="704"/>
      <c r="BVE93" s="704"/>
      <c r="BVF93" s="704"/>
      <c r="BVG93" s="704"/>
      <c r="BVH93" s="704"/>
      <c r="BVI93" s="704"/>
      <c r="BVJ93" s="704"/>
      <c r="BVK93" s="704"/>
      <c r="BVL93" s="704"/>
      <c r="BVM93" s="704"/>
      <c r="BVN93" s="704"/>
      <c r="BVO93" s="704"/>
      <c r="BVP93" s="704"/>
      <c r="BVQ93" s="704"/>
      <c r="BVR93" s="704"/>
      <c r="BVS93" s="704"/>
      <c r="BVT93" s="704"/>
      <c r="BVU93" s="704"/>
      <c r="BVV93" s="704"/>
      <c r="BVW93" s="704"/>
      <c r="BVX93" s="704"/>
      <c r="BVY93" s="704"/>
      <c r="BVZ93" s="704"/>
      <c r="BWA93" s="704"/>
      <c r="BWB93" s="704"/>
      <c r="BWC93" s="704"/>
      <c r="BWD93" s="704"/>
      <c r="BWE93" s="704"/>
      <c r="BWF93" s="704"/>
      <c r="BWG93" s="704"/>
      <c r="BWH93" s="704"/>
      <c r="BWI93" s="704"/>
      <c r="BWJ93" s="704"/>
      <c r="BWK93" s="704"/>
      <c r="BWL93" s="704"/>
      <c r="BWM93" s="704"/>
      <c r="BWN93" s="704"/>
      <c r="BWO93" s="704"/>
      <c r="BWP93" s="704"/>
      <c r="BWQ93" s="704"/>
      <c r="BWR93" s="704"/>
      <c r="BWS93" s="704"/>
      <c r="BWT93" s="704"/>
      <c r="BWU93" s="704"/>
      <c r="BWV93" s="704"/>
      <c r="BWW93" s="704"/>
      <c r="BWX93" s="704"/>
      <c r="BWY93" s="704"/>
      <c r="BWZ93" s="704"/>
      <c r="BXA93" s="704"/>
      <c r="BXB93" s="704"/>
      <c r="BXC93" s="704"/>
      <c r="BXD93" s="704"/>
      <c r="BXE93" s="704"/>
      <c r="BXF93" s="704"/>
      <c r="BXG93" s="704"/>
      <c r="BXH93" s="704"/>
      <c r="BXI93" s="704"/>
      <c r="BXJ93" s="704"/>
      <c r="BXK93" s="704"/>
      <c r="BXL93" s="704"/>
      <c r="BXM93" s="704"/>
      <c r="BXN93" s="704"/>
      <c r="BXO93" s="704"/>
      <c r="BXP93" s="704"/>
      <c r="BXQ93" s="704"/>
      <c r="BXR93" s="704"/>
      <c r="BXS93" s="704"/>
      <c r="BXT93" s="704"/>
      <c r="BXU93" s="704"/>
      <c r="BXV93" s="704"/>
      <c r="BXW93" s="704"/>
      <c r="BXX93" s="704"/>
      <c r="BXY93" s="704"/>
      <c r="BXZ93" s="704"/>
      <c r="BYA93" s="704"/>
      <c r="BYB93" s="704"/>
      <c r="BYC93" s="704"/>
      <c r="BYD93" s="704"/>
      <c r="BYE93" s="704"/>
      <c r="BYF93" s="704"/>
      <c r="BYG93" s="704"/>
      <c r="BYH93" s="704"/>
      <c r="BYI93" s="704"/>
      <c r="BYJ93" s="704"/>
      <c r="BYK93" s="704"/>
      <c r="BYL93" s="704"/>
      <c r="BYM93" s="704"/>
      <c r="BYN93" s="704"/>
      <c r="BYO93" s="704"/>
      <c r="BYP93" s="704"/>
      <c r="BYQ93" s="704"/>
      <c r="BYR93" s="704"/>
      <c r="BYS93" s="704"/>
      <c r="BYT93" s="704"/>
      <c r="BYU93" s="704"/>
      <c r="BYV93" s="704"/>
      <c r="BYW93" s="704"/>
      <c r="BYX93" s="704"/>
      <c r="BYY93" s="704"/>
      <c r="BYZ93" s="704"/>
      <c r="BZA93" s="704"/>
      <c r="BZB93" s="704"/>
      <c r="BZC93" s="704"/>
      <c r="BZD93" s="704"/>
      <c r="BZE93" s="704"/>
      <c r="BZF93" s="704"/>
      <c r="BZG93" s="704"/>
      <c r="BZH93" s="704"/>
      <c r="BZI93" s="704"/>
      <c r="BZJ93" s="704"/>
      <c r="BZK93" s="704"/>
      <c r="BZL93" s="704"/>
      <c r="BZM93" s="704"/>
      <c r="BZN93" s="704"/>
      <c r="BZO93" s="704"/>
      <c r="BZP93" s="704"/>
      <c r="BZQ93" s="704"/>
      <c r="BZR93" s="704"/>
      <c r="BZS93" s="704"/>
      <c r="BZZ93" s="704"/>
      <c r="CAA93" s="704"/>
      <c r="CAB93" s="704"/>
      <c r="CAC93" s="704"/>
      <c r="CAD93" s="704"/>
      <c r="CAE93" s="704"/>
      <c r="CAF93" s="704"/>
      <c r="CAG93" s="704"/>
      <c r="CAH93" s="704"/>
      <c r="CAI93" s="704"/>
      <c r="CAJ93" s="704"/>
      <c r="CAK93" s="704"/>
      <c r="CAL93" s="704"/>
      <c r="CAM93" s="704"/>
      <c r="CAN93" s="704"/>
      <c r="CAO93" s="704"/>
      <c r="CAP93" s="704"/>
      <c r="CAQ93" s="704"/>
      <c r="CAR93" s="704"/>
      <c r="CAS93" s="704"/>
      <c r="CAT93" s="704"/>
      <c r="CAU93" s="704"/>
      <c r="CAV93" s="704"/>
      <c r="CAW93" s="704"/>
      <c r="CAX93" s="704"/>
      <c r="CAY93" s="704"/>
      <c r="CAZ93" s="704"/>
      <c r="CBA93" s="704"/>
      <c r="CBB93" s="704"/>
      <c r="CBC93" s="704"/>
      <c r="CBD93" s="704"/>
      <c r="CBE93" s="704"/>
      <c r="CBF93" s="704"/>
      <c r="CBG93" s="704"/>
      <c r="CBH93" s="704"/>
      <c r="CBI93" s="704"/>
      <c r="CBJ93" s="704"/>
      <c r="CBK93" s="704"/>
      <c r="CBL93" s="704"/>
      <c r="CBM93" s="704"/>
      <c r="CBN93" s="704"/>
      <c r="CBO93" s="704"/>
      <c r="CBP93" s="704"/>
      <c r="CBQ93" s="704"/>
      <c r="CBR93" s="704"/>
      <c r="CBS93" s="704"/>
      <c r="CBT93" s="704"/>
      <c r="CBU93" s="704"/>
      <c r="CBV93" s="704"/>
      <c r="CBW93" s="704"/>
      <c r="CBX93" s="704"/>
      <c r="CBY93" s="704"/>
      <c r="CBZ93" s="704"/>
      <c r="CCA93" s="704"/>
      <c r="CCB93" s="704"/>
      <c r="CCC93" s="704"/>
      <c r="CCD93" s="704"/>
      <c r="CCE93" s="704"/>
      <c r="CCF93" s="704"/>
      <c r="CCG93" s="704"/>
      <c r="CCH93" s="704"/>
      <c r="CCI93" s="704"/>
      <c r="CCJ93" s="704"/>
      <c r="CCK93" s="704"/>
      <c r="CCL93" s="704"/>
      <c r="CCM93" s="704"/>
      <c r="CCN93" s="704"/>
      <c r="CCO93" s="704"/>
      <c r="CCP93" s="704"/>
      <c r="CCQ93" s="704"/>
      <c r="CCR93" s="704"/>
      <c r="CCS93" s="704"/>
      <c r="CCT93" s="704"/>
      <c r="CCU93" s="704"/>
      <c r="CCV93" s="704"/>
      <c r="CCW93" s="704"/>
      <c r="CCX93" s="704"/>
      <c r="CCY93" s="704"/>
      <c r="CCZ93" s="704"/>
      <c r="CDA93" s="704"/>
      <c r="CDB93" s="704"/>
      <c r="CDC93" s="704"/>
      <c r="CDD93" s="704"/>
      <c r="CDE93" s="704"/>
      <c r="CDF93" s="704"/>
      <c r="CDG93" s="704"/>
      <c r="CDH93" s="704"/>
      <c r="CDI93" s="704"/>
      <c r="CDJ93" s="704"/>
      <c r="CDK93" s="704"/>
      <c r="CDL93" s="704"/>
      <c r="CDM93" s="704"/>
      <c r="CDN93" s="704"/>
      <c r="CDO93" s="704"/>
      <c r="CDP93" s="704"/>
      <c r="CDQ93" s="704"/>
      <c r="CDR93" s="704"/>
      <c r="CDS93" s="704"/>
      <c r="CDT93" s="704"/>
      <c r="CDU93" s="704"/>
      <c r="CDV93" s="704"/>
      <c r="CDW93" s="704"/>
      <c r="CDX93" s="704"/>
      <c r="CDY93" s="704"/>
      <c r="CDZ93" s="704"/>
      <c r="CEA93" s="704"/>
      <c r="CEB93" s="704"/>
      <c r="CEC93" s="704"/>
      <c r="CED93" s="704"/>
      <c r="CEE93" s="704"/>
      <c r="CEF93" s="704"/>
      <c r="CEG93" s="704"/>
      <c r="CEH93" s="704"/>
      <c r="CEI93" s="704"/>
      <c r="CEJ93" s="704"/>
      <c r="CEK93" s="704"/>
      <c r="CEL93" s="704"/>
      <c r="CEM93" s="704"/>
      <c r="CEN93" s="704"/>
      <c r="CEO93" s="704"/>
      <c r="CEP93" s="704"/>
      <c r="CEQ93" s="704"/>
      <c r="CER93" s="704"/>
      <c r="CES93" s="704"/>
      <c r="CET93" s="704"/>
      <c r="CEU93" s="704"/>
      <c r="CEV93" s="704"/>
      <c r="CEW93" s="704"/>
      <c r="CEX93" s="704"/>
      <c r="CEY93" s="704"/>
      <c r="CEZ93" s="704"/>
      <c r="CFA93" s="704"/>
      <c r="CFB93" s="704"/>
      <c r="CFC93" s="704"/>
      <c r="CFD93" s="704"/>
      <c r="CFE93" s="704"/>
      <c r="CFF93" s="704"/>
      <c r="CFG93" s="704"/>
      <c r="CFH93" s="704"/>
      <c r="CFI93" s="704"/>
      <c r="CFJ93" s="704"/>
      <c r="CFK93" s="704"/>
      <c r="CFL93" s="704"/>
      <c r="CFM93" s="704"/>
      <c r="CFN93" s="704"/>
      <c r="CFO93" s="704"/>
      <c r="CFP93" s="704"/>
      <c r="CFQ93" s="704"/>
      <c r="CFR93" s="704"/>
      <c r="CFS93" s="704"/>
      <c r="CFT93" s="704"/>
      <c r="CFU93" s="704"/>
      <c r="CFV93" s="704"/>
      <c r="CFW93" s="704"/>
      <c r="CFX93" s="704"/>
      <c r="CFY93" s="704"/>
      <c r="CFZ93" s="704"/>
      <c r="CGA93" s="704"/>
      <c r="CGB93" s="704"/>
      <c r="CGC93" s="704"/>
      <c r="CGD93" s="704"/>
      <c r="CGE93" s="704"/>
      <c r="CGF93" s="704"/>
      <c r="CGG93" s="704"/>
      <c r="CGH93" s="704"/>
      <c r="CGI93" s="704"/>
      <c r="CGJ93" s="704"/>
      <c r="CGK93" s="704"/>
      <c r="CGL93" s="704"/>
      <c r="CGM93" s="704"/>
      <c r="CGN93" s="704"/>
      <c r="CGO93" s="704"/>
      <c r="CGP93" s="704"/>
      <c r="CGQ93" s="704"/>
      <c r="CGR93" s="704"/>
      <c r="CGS93" s="704"/>
      <c r="CGT93" s="704"/>
      <c r="CGU93" s="704"/>
      <c r="CGV93" s="704"/>
      <c r="CGW93" s="704"/>
      <c r="CGX93" s="704"/>
      <c r="CGY93" s="704"/>
      <c r="CGZ93" s="704"/>
      <c r="CHA93" s="704"/>
      <c r="CHB93" s="704"/>
      <c r="CHC93" s="704"/>
      <c r="CHD93" s="704"/>
      <c r="CHE93" s="704"/>
      <c r="CHF93" s="704"/>
      <c r="CHG93" s="704"/>
      <c r="CHH93" s="704"/>
      <c r="CHI93" s="704"/>
      <c r="CHJ93" s="704"/>
      <c r="CHK93" s="704"/>
      <c r="CHL93" s="704"/>
      <c r="CHM93" s="704"/>
      <c r="CHN93" s="704"/>
      <c r="CHO93" s="704"/>
      <c r="CHP93" s="704"/>
      <c r="CHQ93" s="704"/>
      <c r="CHR93" s="704"/>
      <c r="CHS93" s="704"/>
      <c r="CHT93" s="704"/>
      <c r="CHU93" s="704"/>
      <c r="CHV93" s="704"/>
      <c r="CHW93" s="704"/>
      <c r="CHX93" s="704"/>
      <c r="CHY93" s="704"/>
      <c r="CHZ93" s="704"/>
      <c r="CIA93" s="704"/>
      <c r="CIB93" s="704"/>
      <c r="CIC93" s="704"/>
      <c r="CID93" s="704"/>
      <c r="CIE93" s="704"/>
      <c r="CIF93" s="704"/>
      <c r="CIG93" s="704"/>
      <c r="CIH93" s="704"/>
      <c r="CII93" s="704"/>
      <c r="CIJ93" s="704"/>
      <c r="CIK93" s="704"/>
      <c r="CIL93" s="704"/>
      <c r="CIM93" s="704"/>
      <c r="CIN93" s="704"/>
      <c r="CIO93" s="704"/>
      <c r="CIP93" s="704"/>
      <c r="CIQ93" s="704"/>
      <c r="CIR93" s="704"/>
      <c r="CIS93" s="704"/>
      <c r="CIT93" s="704"/>
      <c r="CIU93" s="704"/>
      <c r="CIV93" s="704"/>
      <c r="CIW93" s="704"/>
      <c r="CIX93" s="704"/>
      <c r="CIY93" s="704"/>
      <c r="CIZ93" s="704"/>
      <c r="CJA93" s="704"/>
      <c r="CJB93" s="704"/>
      <c r="CJC93" s="704"/>
      <c r="CJD93" s="704"/>
      <c r="CJE93" s="704"/>
      <c r="CJF93" s="704"/>
      <c r="CJG93" s="704"/>
      <c r="CJH93" s="704"/>
      <c r="CJI93" s="704"/>
      <c r="CJJ93" s="704"/>
      <c r="CJK93" s="704"/>
      <c r="CJL93" s="704"/>
      <c r="CJM93" s="704"/>
      <c r="CJN93" s="704"/>
      <c r="CJO93" s="704"/>
      <c r="CJV93" s="704"/>
      <c r="CJW93" s="704"/>
      <c r="CJX93" s="704"/>
      <c r="CJY93" s="704"/>
      <c r="CJZ93" s="704"/>
      <c r="CKA93" s="704"/>
      <c r="CKB93" s="704"/>
      <c r="CKC93" s="704"/>
      <c r="CKD93" s="704"/>
      <c r="CKE93" s="704"/>
      <c r="CKF93" s="704"/>
      <c r="CKG93" s="704"/>
      <c r="CKH93" s="704"/>
      <c r="CKI93" s="704"/>
      <c r="CKJ93" s="704"/>
      <c r="CKK93" s="704"/>
      <c r="CKL93" s="704"/>
      <c r="CKM93" s="704"/>
      <c r="CKN93" s="704"/>
      <c r="CKO93" s="704"/>
      <c r="CKP93" s="704"/>
      <c r="CKQ93" s="704"/>
      <c r="CKR93" s="704"/>
      <c r="CKS93" s="704"/>
      <c r="CKT93" s="704"/>
      <c r="CKU93" s="704"/>
      <c r="CKV93" s="704"/>
      <c r="CKW93" s="704"/>
      <c r="CKX93" s="704"/>
      <c r="CKY93" s="704"/>
      <c r="CKZ93" s="704"/>
      <c r="CLA93" s="704"/>
      <c r="CLB93" s="704"/>
      <c r="CLC93" s="704"/>
      <c r="CLD93" s="704"/>
      <c r="CLE93" s="704"/>
      <c r="CLF93" s="704"/>
      <c r="CLG93" s="704"/>
      <c r="CLH93" s="704"/>
      <c r="CLI93" s="704"/>
      <c r="CLJ93" s="704"/>
      <c r="CLK93" s="704"/>
      <c r="CLL93" s="704"/>
      <c r="CLM93" s="704"/>
      <c r="CLN93" s="704"/>
      <c r="CLO93" s="704"/>
      <c r="CLP93" s="704"/>
      <c r="CLQ93" s="704"/>
      <c r="CLR93" s="704"/>
      <c r="CLS93" s="704"/>
      <c r="CLT93" s="704"/>
      <c r="CLU93" s="704"/>
      <c r="CLV93" s="704"/>
      <c r="CLW93" s="704"/>
      <c r="CLX93" s="704"/>
      <c r="CLY93" s="704"/>
      <c r="CLZ93" s="704"/>
      <c r="CMA93" s="704"/>
      <c r="CMB93" s="704"/>
      <c r="CMC93" s="704"/>
      <c r="CMD93" s="704"/>
      <c r="CME93" s="704"/>
      <c r="CMF93" s="704"/>
      <c r="CMG93" s="704"/>
      <c r="CMH93" s="704"/>
      <c r="CMI93" s="704"/>
      <c r="CMJ93" s="704"/>
      <c r="CMK93" s="704"/>
      <c r="CML93" s="704"/>
      <c r="CMM93" s="704"/>
      <c r="CMN93" s="704"/>
      <c r="CMO93" s="704"/>
      <c r="CMP93" s="704"/>
      <c r="CMQ93" s="704"/>
      <c r="CMR93" s="704"/>
      <c r="CMS93" s="704"/>
      <c r="CMT93" s="704"/>
      <c r="CMU93" s="704"/>
      <c r="CMV93" s="704"/>
      <c r="CMW93" s="704"/>
      <c r="CMX93" s="704"/>
      <c r="CMY93" s="704"/>
      <c r="CMZ93" s="704"/>
      <c r="CNA93" s="704"/>
      <c r="CNB93" s="704"/>
      <c r="CNC93" s="704"/>
      <c r="CND93" s="704"/>
      <c r="CNE93" s="704"/>
      <c r="CNF93" s="704"/>
      <c r="CNG93" s="704"/>
      <c r="CNH93" s="704"/>
      <c r="CNI93" s="704"/>
      <c r="CNJ93" s="704"/>
      <c r="CNK93" s="704"/>
      <c r="CNL93" s="704"/>
      <c r="CNM93" s="704"/>
      <c r="CNN93" s="704"/>
      <c r="CNO93" s="704"/>
      <c r="CNP93" s="704"/>
      <c r="CNQ93" s="704"/>
      <c r="CNR93" s="704"/>
      <c r="CNS93" s="704"/>
      <c r="CNT93" s="704"/>
      <c r="CNU93" s="704"/>
      <c r="CNV93" s="704"/>
      <c r="CNW93" s="704"/>
      <c r="CNX93" s="704"/>
      <c r="CNY93" s="704"/>
      <c r="CNZ93" s="704"/>
      <c r="COA93" s="704"/>
      <c r="COB93" s="704"/>
      <c r="COC93" s="704"/>
      <c r="COD93" s="704"/>
      <c r="COE93" s="704"/>
      <c r="COF93" s="704"/>
      <c r="COG93" s="704"/>
      <c r="COH93" s="704"/>
      <c r="COI93" s="704"/>
      <c r="COJ93" s="704"/>
      <c r="COK93" s="704"/>
      <c r="COL93" s="704"/>
      <c r="COM93" s="704"/>
      <c r="CON93" s="704"/>
      <c r="COO93" s="704"/>
      <c r="COP93" s="704"/>
      <c r="COQ93" s="704"/>
      <c r="COR93" s="704"/>
      <c r="COS93" s="704"/>
      <c r="COT93" s="704"/>
      <c r="COU93" s="704"/>
      <c r="COV93" s="704"/>
      <c r="COW93" s="704"/>
      <c r="COX93" s="704"/>
      <c r="COY93" s="704"/>
      <c r="COZ93" s="704"/>
      <c r="CPA93" s="704"/>
      <c r="CPB93" s="704"/>
      <c r="CPC93" s="704"/>
      <c r="CPD93" s="704"/>
      <c r="CPE93" s="704"/>
      <c r="CPF93" s="704"/>
      <c r="CPG93" s="704"/>
      <c r="CPH93" s="704"/>
      <c r="CPI93" s="704"/>
      <c r="CPJ93" s="704"/>
      <c r="CPK93" s="704"/>
      <c r="CPL93" s="704"/>
      <c r="CPM93" s="704"/>
      <c r="CPN93" s="704"/>
      <c r="CPO93" s="704"/>
      <c r="CPP93" s="704"/>
      <c r="CPQ93" s="704"/>
      <c r="CPR93" s="704"/>
      <c r="CPS93" s="704"/>
      <c r="CPT93" s="704"/>
      <c r="CPU93" s="704"/>
      <c r="CPV93" s="704"/>
      <c r="CPW93" s="704"/>
      <c r="CPX93" s="704"/>
      <c r="CPY93" s="704"/>
      <c r="CPZ93" s="704"/>
      <c r="CQA93" s="704"/>
      <c r="CQB93" s="704"/>
      <c r="CQC93" s="704"/>
      <c r="CQD93" s="704"/>
      <c r="CQE93" s="704"/>
      <c r="CQF93" s="704"/>
      <c r="CQG93" s="704"/>
      <c r="CQH93" s="704"/>
      <c r="CQI93" s="704"/>
      <c r="CQJ93" s="704"/>
      <c r="CQK93" s="704"/>
      <c r="CQL93" s="704"/>
      <c r="CQM93" s="704"/>
      <c r="CQN93" s="704"/>
      <c r="CQO93" s="704"/>
      <c r="CQP93" s="704"/>
      <c r="CQQ93" s="704"/>
      <c r="CQR93" s="704"/>
      <c r="CQS93" s="704"/>
      <c r="CQT93" s="704"/>
      <c r="CQU93" s="704"/>
      <c r="CQV93" s="704"/>
      <c r="CQW93" s="704"/>
      <c r="CQX93" s="704"/>
      <c r="CQY93" s="704"/>
      <c r="CQZ93" s="704"/>
      <c r="CRA93" s="704"/>
      <c r="CRB93" s="704"/>
      <c r="CRC93" s="704"/>
      <c r="CRD93" s="704"/>
      <c r="CRE93" s="704"/>
      <c r="CRF93" s="704"/>
      <c r="CRG93" s="704"/>
      <c r="CRH93" s="704"/>
      <c r="CRI93" s="704"/>
      <c r="CRJ93" s="704"/>
      <c r="CRK93" s="704"/>
      <c r="CRL93" s="704"/>
      <c r="CRM93" s="704"/>
      <c r="CRN93" s="704"/>
      <c r="CRO93" s="704"/>
      <c r="CRP93" s="704"/>
      <c r="CRQ93" s="704"/>
      <c r="CRR93" s="704"/>
      <c r="CRS93" s="704"/>
      <c r="CRT93" s="704"/>
      <c r="CRU93" s="704"/>
      <c r="CRV93" s="704"/>
      <c r="CRW93" s="704"/>
      <c r="CRX93" s="704"/>
      <c r="CRY93" s="704"/>
      <c r="CRZ93" s="704"/>
      <c r="CSA93" s="704"/>
      <c r="CSB93" s="704"/>
      <c r="CSC93" s="704"/>
      <c r="CSD93" s="704"/>
      <c r="CSE93" s="704"/>
      <c r="CSF93" s="704"/>
      <c r="CSG93" s="704"/>
      <c r="CSH93" s="704"/>
      <c r="CSI93" s="704"/>
      <c r="CSJ93" s="704"/>
      <c r="CSK93" s="704"/>
      <c r="CSL93" s="704"/>
      <c r="CSM93" s="704"/>
      <c r="CSN93" s="704"/>
      <c r="CSO93" s="704"/>
      <c r="CSP93" s="704"/>
      <c r="CSQ93" s="704"/>
      <c r="CSR93" s="704"/>
      <c r="CSS93" s="704"/>
      <c r="CST93" s="704"/>
      <c r="CSU93" s="704"/>
      <c r="CSV93" s="704"/>
      <c r="CSW93" s="704"/>
      <c r="CSX93" s="704"/>
      <c r="CSY93" s="704"/>
      <c r="CSZ93" s="704"/>
      <c r="CTA93" s="704"/>
      <c r="CTB93" s="704"/>
      <c r="CTC93" s="704"/>
      <c r="CTD93" s="704"/>
      <c r="CTE93" s="704"/>
      <c r="CTF93" s="704"/>
      <c r="CTG93" s="704"/>
      <c r="CTH93" s="704"/>
      <c r="CTI93" s="704"/>
      <c r="CTJ93" s="704"/>
      <c r="CTK93" s="704"/>
      <c r="CTR93" s="704"/>
      <c r="CTS93" s="704"/>
      <c r="CTT93" s="704"/>
      <c r="CTU93" s="704"/>
      <c r="CTV93" s="704"/>
      <c r="CTW93" s="704"/>
      <c r="CTX93" s="704"/>
      <c r="CTY93" s="704"/>
      <c r="CTZ93" s="704"/>
      <c r="CUA93" s="704"/>
      <c r="CUB93" s="704"/>
      <c r="CUC93" s="704"/>
      <c r="CUD93" s="704"/>
      <c r="CUE93" s="704"/>
      <c r="CUF93" s="704"/>
      <c r="CUG93" s="704"/>
      <c r="CUH93" s="704"/>
      <c r="CUI93" s="704"/>
      <c r="CUJ93" s="704"/>
      <c r="CUK93" s="704"/>
      <c r="CUL93" s="704"/>
      <c r="CUM93" s="704"/>
      <c r="CUN93" s="704"/>
      <c r="CUO93" s="704"/>
      <c r="CUP93" s="704"/>
      <c r="CUQ93" s="704"/>
      <c r="CUR93" s="704"/>
      <c r="CUS93" s="704"/>
      <c r="CUT93" s="704"/>
      <c r="CUU93" s="704"/>
      <c r="CUV93" s="704"/>
      <c r="CUW93" s="704"/>
      <c r="CUX93" s="704"/>
      <c r="CUY93" s="704"/>
      <c r="CUZ93" s="704"/>
      <c r="CVA93" s="704"/>
      <c r="CVB93" s="704"/>
      <c r="CVC93" s="704"/>
      <c r="CVD93" s="704"/>
      <c r="CVE93" s="704"/>
      <c r="CVF93" s="704"/>
      <c r="CVG93" s="704"/>
      <c r="CVH93" s="704"/>
      <c r="CVI93" s="704"/>
      <c r="CVJ93" s="704"/>
      <c r="CVK93" s="704"/>
      <c r="CVL93" s="704"/>
      <c r="CVM93" s="704"/>
      <c r="CVN93" s="704"/>
      <c r="CVO93" s="704"/>
      <c r="CVP93" s="704"/>
      <c r="CVQ93" s="704"/>
      <c r="CVR93" s="704"/>
      <c r="CVS93" s="704"/>
      <c r="CVT93" s="704"/>
      <c r="CVU93" s="704"/>
      <c r="CVV93" s="704"/>
      <c r="CVW93" s="704"/>
      <c r="CVX93" s="704"/>
      <c r="CVY93" s="704"/>
      <c r="CVZ93" s="704"/>
      <c r="CWA93" s="704"/>
      <c r="CWB93" s="704"/>
      <c r="CWC93" s="704"/>
      <c r="CWD93" s="704"/>
      <c r="CWE93" s="704"/>
      <c r="CWF93" s="704"/>
      <c r="CWG93" s="704"/>
      <c r="CWH93" s="704"/>
      <c r="CWI93" s="704"/>
      <c r="CWJ93" s="704"/>
      <c r="CWK93" s="704"/>
      <c r="CWL93" s="704"/>
      <c r="CWM93" s="704"/>
      <c r="CWN93" s="704"/>
      <c r="CWO93" s="704"/>
      <c r="CWP93" s="704"/>
      <c r="CWQ93" s="704"/>
      <c r="CWR93" s="704"/>
      <c r="CWS93" s="704"/>
      <c r="CWT93" s="704"/>
      <c r="CWU93" s="704"/>
      <c r="CWV93" s="704"/>
      <c r="CWW93" s="704"/>
      <c r="CWX93" s="704"/>
      <c r="CWY93" s="704"/>
      <c r="CWZ93" s="704"/>
      <c r="CXA93" s="704"/>
      <c r="CXB93" s="704"/>
      <c r="CXC93" s="704"/>
      <c r="CXD93" s="704"/>
      <c r="CXE93" s="704"/>
      <c r="CXF93" s="704"/>
      <c r="CXG93" s="704"/>
      <c r="CXH93" s="704"/>
      <c r="CXI93" s="704"/>
      <c r="CXJ93" s="704"/>
      <c r="CXK93" s="704"/>
      <c r="CXL93" s="704"/>
      <c r="CXM93" s="704"/>
      <c r="CXN93" s="704"/>
      <c r="CXO93" s="704"/>
      <c r="CXP93" s="704"/>
      <c r="CXQ93" s="704"/>
      <c r="CXR93" s="704"/>
      <c r="CXS93" s="704"/>
      <c r="CXT93" s="704"/>
      <c r="CXU93" s="704"/>
      <c r="CXV93" s="704"/>
      <c r="CXW93" s="704"/>
      <c r="CXX93" s="704"/>
      <c r="CXY93" s="704"/>
      <c r="CXZ93" s="704"/>
      <c r="CYA93" s="704"/>
      <c r="CYB93" s="704"/>
      <c r="CYC93" s="704"/>
      <c r="CYD93" s="704"/>
      <c r="CYE93" s="704"/>
      <c r="CYF93" s="704"/>
      <c r="CYG93" s="704"/>
      <c r="CYH93" s="704"/>
      <c r="CYI93" s="704"/>
      <c r="CYJ93" s="704"/>
      <c r="CYK93" s="704"/>
      <c r="CYL93" s="704"/>
      <c r="CYM93" s="704"/>
      <c r="CYN93" s="704"/>
      <c r="CYO93" s="704"/>
      <c r="CYP93" s="704"/>
      <c r="CYQ93" s="704"/>
      <c r="CYR93" s="704"/>
      <c r="CYS93" s="704"/>
      <c r="CYT93" s="704"/>
      <c r="CYU93" s="704"/>
      <c r="CYV93" s="704"/>
      <c r="CYW93" s="704"/>
      <c r="CYX93" s="704"/>
      <c r="CYY93" s="704"/>
      <c r="CYZ93" s="704"/>
      <c r="CZA93" s="704"/>
      <c r="CZB93" s="704"/>
      <c r="CZC93" s="704"/>
      <c r="CZD93" s="704"/>
      <c r="CZE93" s="704"/>
      <c r="CZF93" s="704"/>
      <c r="CZG93" s="704"/>
      <c r="CZH93" s="704"/>
      <c r="CZI93" s="704"/>
      <c r="CZJ93" s="704"/>
      <c r="CZK93" s="704"/>
      <c r="CZL93" s="704"/>
      <c r="CZM93" s="704"/>
      <c r="CZN93" s="704"/>
      <c r="CZO93" s="704"/>
      <c r="CZP93" s="704"/>
      <c r="CZQ93" s="704"/>
      <c r="CZR93" s="704"/>
      <c r="CZS93" s="704"/>
      <c r="CZT93" s="704"/>
      <c r="CZU93" s="704"/>
      <c r="CZV93" s="704"/>
      <c r="CZW93" s="704"/>
      <c r="CZX93" s="704"/>
      <c r="CZY93" s="704"/>
      <c r="CZZ93" s="704"/>
      <c r="DAA93" s="704"/>
      <c r="DAB93" s="704"/>
      <c r="DAC93" s="704"/>
      <c r="DAD93" s="704"/>
      <c r="DAE93" s="704"/>
      <c r="DAF93" s="704"/>
      <c r="DAG93" s="704"/>
      <c r="DAH93" s="704"/>
      <c r="DAI93" s="704"/>
      <c r="DAJ93" s="704"/>
      <c r="DAK93" s="704"/>
      <c r="DAL93" s="704"/>
      <c r="DAM93" s="704"/>
      <c r="DAN93" s="704"/>
      <c r="DAO93" s="704"/>
      <c r="DAP93" s="704"/>
      <c r="DAQ93" s="704"/>
      <c r="DAR93" s="704"/>
      <c r="DAS93" s="704"/>
      <c r="DAT93" s="704"/>
      <c r="DAU93" s="704"/>
      <c r="DAV93" s="704"/>
      <c r="DAW93" s="704"/>
      <c r="DAX93" s="704"/>
      <c r="DAY93" s="704"/>
      <c r="DAZ93" s="704"/>
      <c r="DBA93" s="704"/>
      <c r="DBB93" s="704"/>
      <c r="DBC93" s="704"/>
      <c r="DBD93" s="704"/>
      <c r="DBE93" s="704"/>
      <c r="DBF93" s="704"/>
      <c r="DBG93" s="704"/>
      <c r="DBH93" s="704"/>
      <c r="DBI93" s="704"/>
      <c r="DBJ93" s="704"/>
      <c r="DBK93" s="704"/>
      <c r="DBL93" s="704"/>
      <c r="DBM93" s="704"/>
      <c r="DBN93" s="704"/>
      <c r="DBO93" s="704"/>
      <c r="DBP93" s="704"/>
      <c r="DBQ93" s="704"/>
      <c r="DBR93" s="704"/>
      <c r="DBS93" s="704"/>
      <c r="DBT93" s="704"/>
      <c r="DBU93" s="704"/>
      <c r="DBV93" s="704"/>
      <c r="DBW93" s="704"/>
      <c r="DBX93" s="704"/>
      <c r="DBY93" s="704"/>
      <c r="DBZ93" s="704"/>
      <c r="DCA93" s="704"/>
      <c r="DCB93" s="704"/>
      <c r="DCC93" s="704"/>
      <c r="DCD93" s="704"/>
      <c r="DCE93" s="704"/>
      <c r="DCF93" s="704"/>
      <c r="DCG93" s="704"/>
      <c r="DCH93" s="704"/>
      <c r="DCI93" s="704"/>
      <c r="DCJ93" s="704"/>
      <c r="DCK93" s="704"/>
      <c r="DCL93" s="704"/>
      <c r="DCM93" s="704"/>
      <c r="DCN93" s="704"/>
      <c r="DCO93" s="704"/>
      <c r="DCP93" s="704"/>
      <c r="DCQ93" s="704"/>
      <c r="DCR93" s="704"/>
      <c r="DCS93" s="704"/>
      <c r="DCT93" s="704"/>
      <c r="DCU93" s="704"/>
      <c r="DCV93" s="704"/>
      <c r="DCW93" s="704"/>
      <c r="DCX93" s="704"/>
      <c r="DCY93" s="704"/>
      <c r="DCZ93" s="704"/>
      <c r="DDA93" s="704"/>
      <c r="DDB93" s="704"/>
      <c r="DDC93" s="704"/>
      <c r="DDD93" s="704"/>
      <c r="DDE93" s="704"/>
      <c r="DDF93" s="704"/>
      <c r="DDG93" s="704"/>
      <c r="DDN93" s="704"/>
      <c r="DDO93" s="704"/>
      <c r="DDP93" s="704"/>
      <c r="DDQ93" s="704"/>
      <c r="DDR93" s="704"/>
      <c r="DDS93" s="704"/>
      <c r="DDT93" s="704"/>
      <c r="DDU93" s="704"/>
      <c r="DDV93" s="704"/>
      <c r="DDW93" s="704"/>
      <c r="DDX93" s="704"/>
      <c r="DDY93" s="704"/>
      <c r="DDZ93" s="704"/>
      <c r="DEA93" s="704"/>
      <c r="DEB93" s="704"/>
      <c r="DEC93" s="704"/>
      <c r="DED93" s="704"/>
      <c r="DEE93" s="704"/>
      <c r="DEF93" s="704"/>
      <c r="DEG93" s="704"/>
      <c r="DEH93" s="704"/>
      <c r="DEI93" s="704"/>
      <c r="DEJ93" s="704"/>
      <c r="DEK93" s="704"/>
      <c r="DEL93" s="704"/>
      <c r="DEM93" s="704"/>
      <c r="DEN93" s="704"/>
      <c r="DEO93" s="704"/>
      <c r="DEP93" s="704"/>
      <c r="DEQ93" s="704"/>
      <c r="DER93" s="704"/>
      <c r="DES93" s="704"/>
      <c r="DET93" s="704"/>
      <c r="DEU93" s="704"/>
      <c r="DEV93" s="704"/>
      <c r="DEW93" s="704"/>
      <c r="DEX93" s="704"/>
      <c r="DEY93" s="704"/>
      <c r="DEZ93" s="704"/>
      <c r="DFA93" s="704"/>
      <c r="DFB93" s="704"/>
      <c r="DFC93" s="704"/>
      <c r="DFD93" s="704"/>
      <c r="DFE93" s="704"/>
      <c r="DFF93" s="704"/>
      <c r="DFG93" s="704"/>
      <c r="DFH93" s="704"/>
      <c r="DFI93" s="704"/>
      <c r="DFJ93" s="704"/>
      <c r="DFK93" s="704"/>
      <c r="DFL93" s="704"/>
      <c r="DFM93" s="704"/>
      <c r="DFN93" s="704"/>
      <c r="DFO93" s="704"/>
      <c r="DFP93" s="704"/>
      <c r="DFQ93" s="704"/>
      <c r="DFR93" s="704"/>
      <c r="DFS93" s="704"/>
      <c r="DFT93" s="704"/>
      <c r="DFU93" s="704"/>
      <c r="DFV93" s="704"/>
      <c r="DFW93" s="704"/>
      <c r="DFX93" s="704"/>
      <c r="DFY93" s="704"/>
      <c r="DFZ93" s="704"/>
      <c r="DGA93" s="704"/>
      <c r="DGB93" s="704"/>
      <c r="DGC93" s="704"/>
      <c r="DGD93" s="704"/>
      <c r="DGE93" s="704"/>
      <c r="DGF93" s="704"/>
      <c r="DGG93" s="704"/>
      <c r="DGH93" s="704"/>
      <c r="DGI93" s="704"/>
      <c r="DGJ93" s="704"/>
      <c r="DGK93" s="704"/>
      <c r="DGL93" s="704"/>
      <c r="DGM93" s="704"/>
      <c r="DGN93" s="704"/>
      <c r="DGO93" s="704"/>
      <c r="DGP93" s="704"/>
      <c r="DGQ93" s="704"/>
      <c r="DGR93" s="704"/>
      <c r="DGS93" s="704"/>
      <c r="DGT93" s="704"/>
      <c r="DGU93" s="704"/>
      <c r="DGV93" s="704"/>
      <c r="DGW93" s="704"/>
      <c r="DGX93" s="704"/>
      <c r="DGY93" s="704"/>
      <c r="DGZ93" s="704"/>
      <c r="DHA93" s="704"/>
      <c r="DHB93" s="704"/>
      <c r="DHC93" s="704"/>
      <c r="DHD93" s="704"/>
      <c r="DHE93" s="704"/>
      <c r="DHF93" s="704"/>
      <c r="DHG93" s="704"/>
      <c r="DHH93" s="704"/>
      <c r="DHI93" s="704"/>
      <c r="DHJ93" s="704"/>
      <c r="DHK93" s="704"/>
      <c r="DHL93" s="704"/>
      <c r="DHM93" s="704"/>
      <c r="DHN93" s="704"/>
      <c r="DHO93" s="704"/>
      <c r="DHP93" s="704"/>
      <c r="DHQ93" s="704"/>
      <c r="DHR93" s="704"/>
      <c r="DHS93" s="704"/>
      <c r="DHT93" s="704"/>
      <c r="DHU93" s="704"/>
      <c r="DHV93" s="704"/>
      <c r="DHW93" s="704"/>
      <c r="DHX93" s="704"/>
      <c r="DHY93" s="704"/>
      <c r="DHZ93" s="704"/>
      <c r="DIA93" s="704"/>
      <c r="DIB93" s="704"/>
      <c r="DIC93" s="704"/>
      <c r="DID93" s="704"/>
      <c r="DIE93" s="704"/>
      <c r="DIF93" s="704"/>
      <c r="DIG93" s="704"/>
      <c r="DIH93" s="704"/>
      <c r="DII93" s="704"/>
      <c r="DIJ93" s="704"/>
      <c r="DIK93" s="704"/>
      <c r="DIL93" s="704"/>
      <c r="DIM93" s="704"/>
      <c r="DIN93" s="704"/>
      <c r="DIO93" s="704"/>
      <c r="DIP93" s="704"/>
      <c r="DIQ93" s="704"/>
      <c r="DIR93" s="704"/>
      <c r="DIS93" s="704"/>
      <c r="DIT93" s="704"/>
      <c r="DIU93" s="704"/>
      <c r="DIV93" s="704"/>
      <c r="DIW93" s="704"/>
      <c r="DIX93" s="704"/>
      <c r="DIY93" s="704"/>
      <c r="DIZ93" s="704"/>
      <c r="DJA93" s="704"/>
      <c r="DJB93" s="704"/>
      <c r="DJC93" s="704"/>
      <c r="DJD93" s="704"/>
      <c r="DJE93" s="704"/>
      <c r="DJF93" s="704"/>
      <c r="DJG93" s="704"/>
      <c r="DJH93" s="704"/>
      <c r="DJI93" s="704"/>
      <c r="DJJ93" s="704"/>
      <c r="DJK93" s="704"/>
      <c r="DJL93" s="704"/>
      <c r="DJM93" s="704"/>
      <c r="DJN93" s="704"/>
      <c r="DJO93" s="704"/>
      <c r="DJP93" s="704"/>
      <c r="DJQ93" s="704"/>
      <c r="DJR93" s="704"/>
      <c r="DJS93" s="704"/>
      <c r="DJT93" s="704"/>
      <c r="DJU93" s="704"/>
      <c r="DJV93" s="704"/>
      <c r="DJW93" s="704"/>
      <c r="DJX93" s="704"/>
      <c r="DJY93" s="704"/>
      <c r="DJZ93" s="704"/>
      <c r="DKA93" s="704"/>
      <c r="DKB93" s="704"/>
      <c r="DKC93" s="704"/>
      <c r="DKD93" s="704"/>
      <c r="DKE93" s="704"/>
      <c r="DKF93" s="704"/>
      <c r="DKG93" s="704"/>
      <c r="DKH93" s="704"/>
      <c r="DKI93" s="704"/>
      <c r="DKJ93" s="704"/>
      <c r="DKK93" s="704"/>
      <c r="DKL93" s="704"/>
      <c r="DKM93" s="704"/>
      <c r="DKN93" s="704"/>
      <c r="DKO93" s="704"/>
      <c r="DKP93" s="704"/>
      <c r="DKQ93" s="704"/>
      <c r="DKR93" s="704"/>
      <c r="DKS93" s="704"/>
      <c r="DKT93" s="704"/>
      <c r="DKU93" s="704"/>
      <c r="DKV93" s="704"/>
      <c r="DKW93" s="704"/>
      <c r="DKX93" s="704"/>
      <c r="DKY93" s="704"/>
      <c r="DKZ93" s="704"/>
      <c r="DLA93" s="704"/>
      <c r="DLB93" s="704"/>
      <c r="DLC93" s="704"/>
      <c r="DLD93" s="704"/>
      <c r="DLE93" s="704"/>
      <c r="DLF93" s="704"/>
      <c r="DLG93" s="704"/>
      <c r="DLH93" s="704"/>
      <c r="DLI93" s="704"/>
      <c r="DLJ93" s="704"/>
      <c r="DLK93" s="704"/>
      <c r="DLL93" s="704"/>
      <c r="DLM93" s="704"/>
      <c r="DLN93" s="704"/>
      <c r="DLO93" s="704"/>
      <c r="DLP93" s="704"/>
      <c r="DLQ93" s="704"/>
      <c r="DLR93" s="704"/>
      <c r="DLS93" s="704"/>
      <c r="DLT93" s="704"/>
      <c r="DLU93" s="704"/>
      <c r="DLV93" s="704"/>
      <c r="DLW93" s="704"/>
      <c r="DLX93" s="704"/>
      <c r="DLY93" s="704"/>
      <c r="DLZ93" s="704"/>
      <c r="DMA93" s="704"/>
      <c r="DMB93" s="704"/>
      <c r="DMC93" s="704"/>
      <c r="DMD93" s="704"/>
      <c r="DME93" s="704"/>
      <c r="DMF93" s="704"/>
      <c r="DMG93" s="704"/>
      <c r="DMH93" s="704"/>
      <c r="DMI93" s="704"/>
      <c r="DMJ93" s="704"/>
      <c r="DMK93" s="704"/>
      <c r="DML93" s="704"/>
      <c r="DMM93" s="704"/>
      <c r="DMN93" s="704"/>
      <c r="DMO93" s="704"/>
      <c r="DMP93" s="704"/>
      <c r="DMQ93" s="704"/>
      <c r="DMR93" s="704"/>
      <c r="DMS93" s="704"/>
      <c r="DMT93" s="704"/>
      <c r="DMU93" s="704"/>
      <c r="DMV93" s="704"/>
      <c r="DMW93" s="704"/>
      <c r="DMX93" s="704"/>
      <c r="DMY93" s="704"/>
      <c r="DMZ93" s="704"/>
      <c r="DNA93" s="704"/>
      <c r="DNB93" s="704"/>
      <c r="DNC93" s="704"/>
      <c r="DNJ93" s="704"/>
      <c r="DNK93" s="704"/>
      <c r="DNL93" s="704"/>
      <c r="DNM93" s="704"/>
      <c r="DNN93" s="704"/>
      <c r="DNO93" s="704"/>
      <c r="DNP93" s="704"/>
      <c r="DNQ93" s="704"/>
      <c r="DNR93" s="704"/>
      <c r="DNS93" s="704"/>
      <c r="DNT93" s="704"/>
      <c r="DNU93" s="704"/>
      <c r="DNV93" s="704"/>
      <c r="DNW93" s="704"/>
      <c r="DNX93" s="704"/>
      <c r="DNY93" s="704"/>
      <c r="DNZ93" s="704"/>
      <c r="DOA93" s="704"/>
      <c r="DOB93" s="704"/>
      <c r="DOC93" s="704"/>
      <c r="DOD93" s="704"/>
      <c r="DOE93" s="704"/>
      <c r="DOF93" s="704"/>
      <c r="DOG93" s="704"/>
      <c r="DOH93" s="704"/>
      <c r="DOI93" s="704"/>
      <c r="DOJ93" s="704"/>
      <c r="DOK93" s="704"/>
      <c r="DOL93" s="704"/>
      <c r="DOM93" s="704"/>
      <c r="DON93" s="704"/>
      <c r="DOO93" s="704"/>
      <c r="DOP93" s="704"/>
      <c r="DOQ93" s="704"/>
      <c r="DOR93" s="704"/>
      <c r="DOS93" s="704"/>
      <c r="DOT93" s="704"/>
      <c r="DOU93" s="704"/>
      <c r="DOV93" s="704"/>
      <c r="DOW93" s="704"/>
      <c r="DOX93" s="704"/>
      <c r="DOY93" s="704"/>
      <c r="DOZ93" s="704"/>
      <c r="DPA93" s="704"/>
      <c r="DPB93" s="704"/>
      <c r="DPC93" s="704"/>
      <c r="DPD93" s="704"/>
      <c r="DPE93" s="704"/>
      <c r="DPF93" s="704"/>
      <c r="DPG93" s="704"/>
      <c r="DPH93" s="704"/>
      <c r="DPI93" s="704"/>
      <c r="DPJ93" s="704"/>
      <c r="DPK93" s="704"/>
      <c r="DPL93" s="704"/>
      <c r="DPM93" s="704"/>
      <c r="DPN93" s="704"/>
      <c r="DPO93" s="704"/>
      <c r="DPP93" s="704"/>
      <c r="DPQ93" s="704"/>
      <c r="DPR93" s="704"/>
      <c r="DPS93" s="704"/>
      <c r="DPT93" s="704"/>
      <c r="DPU93" s="704"/>
      <c r="DPV93" s="704"/>
      <c r="DPW93" s="704"/>
      <c r="DPX93" s="704"/>
      <c r="DPY93" s="704"/>
      <c r="DPZ93" s="704"/>
      <c r="DQA93" s="704"/>
      <c r="DQB93" s="704"/>
      <c r="DQC93" s="704"/>
      <c r="DQD93" s="704"/>
      <c r="DQE93" s="704"/>
      <c r="DQF93" s="704"/>
      <c r="DQG93" s="704"/>
      <c r="DQH93" s="704"/>
      <c r="DQI93" s="704"/>
      <c r="DQJ93" s="704"/>
      <c r="DQK93" s="704"/>
      <c r="DQL93" s="704"/>
      <c r="DQM93" s="704"/>
      <c r="DQN93" s="704"/>
      <c r="DQO93" s="704"/>
      <c r="DQP93" s="704"/>
      <c r="DQQ93" s="704"/>
      <c r="DQR93" s="704"/>
      <c r="DQS93" s="704"/>
      <c r="DQT93" s="704"/>
      <c r="DQU93" s="704"/>
      <c r="DQV93" s="704"/>
      <c r="DQW93" s="704"/>
      <c r="DQX93" s="704"/>
      <c r="DQY93" s="704"/>
      <c r="DQZ93" s="704"/>
      <c r="DRA93" s="704"/>
      <c r="DRB93" s="704"/>
      <c r="DRC93" s="704"/>
      <c r="DRD93" s="704"/>
      <c r="DRE93" s="704"/>
      <c r="DRF93" s="704"/>
      <c r="DRG93" s="704"/>
      <c r="DRH93" s="704"/>
      <c r="DRI93" s="704"/>
      <c r="DRJ93" s="704"/>
      <c r="DRK93" s="704"/>
      <c r="DRL93" s="704"/>
      <c r="DRM93" s="704"/>
      <c r="DRN93" s="704"/>
      <c r="DRO93" s="704"/>
      <c r="DRP93" s="704"/>
      <c r="DRQ93" s="704"/>
      <c r="DRR93" s="704"/>
      <c r="DRS93" s="704"/>
      <c r="DRT93" s="704"/>
      <c r="DRU93" s="704"/>
      <c r="DRV93" s="704"/>
      <c r="DRW93" s="704"/>
      <c r="DRX93" s="704"/>
      <c r="DRY93" s="704"/>
      <c r="DRZ93" s="704"/>
      <c r="DSA93" s="704"/>
      <c r="DSB93" s="704"/>
      <c r="DSC93" s="704"/>
      <c r="DSD93" s="704"/>
      <c r="DSE93" s="704"/>
      <c r="DSF93" s="704"/>
      <c r="DSG93" s="704"/>
      <c r="DSH93" s="704"/>
      <c r="DSI93" s="704"/>
      <c r="DSJ93" s="704"/>
      <c r="DSK93" s="704"/>
      <c r="DSL93" s="704"/>
      <c r="DSM93" s="704"/>
      <c r="DSN93" s="704"/>
      <c r="DSO93" s="704"/>
      <c r="DSP93" s="704"/>
      <c r="DSQ93" s="704"/>
      <c r="DSR93" s="704"/>
      <c r="DSS93" s="704"/>
      <c r="DST93" s="704"/>
      <c r="DSU93" s="704"/>
      <c r="DSV93" s="704"/>
      <c r="DSW93" s="704"/>
      <c r="DSX93" s="704"/>
      <c r="DSY93" s="704"/>
      <c r="DSZ93" s="704"/>
      <c r="DTA93" s="704"/>
      <c r="DTB93" s="704"/>
      <c r="DTC93" s="704"/>
      <c r="DTD93" s="704"/>
      <c r="DTE93" s="704"/>
      <c r="DTF93" s="704"/>
      <c r="DTG93" s="704"/>
      <c r="DTH93" s="704"/>
      <c r="DTI93" s="704"/>
      <c r="DTJ93" s="704"/>
      <c r="DTK93" s="704"/>
      <c r="DTL93" s="704"/>
      <c r="DTM93" s="704"/>
      <c r="DTN93" s="704"/>
      <c r="DTO93" s="704"/>
      <c r="DTP93" s="704"/>
      <c r="DTQ93" s="704"/>
      <c r="DTR93" s="704"/>
      <c r="DTS93" s="704"/>
      <c r="DTT93" s="704"/>
      <c r="DTU93" s="704"/>
      <c r="DTV93" s="704"/>
      <c r="DTW93" s="704"/>
      <c r="DTX93" s="704"/>
      <c r="DTY93" s="704"/>
      <c r="DTZ93" s="704"/>
      <c r="DUA93" s="704"/>
      <c r="DUB93" s="704"/>
      <c r="DUC93" s="704"/>
      <c r="DUD93" s="704"/>
      <c r="DUE93" s="704"/>
      <c r="DUF93" s="704"/>
      <c r="DUG93" s="704"/>
      <c r="DUH93" s="704"/>
      <c r="DUI93" s="704"/>
      <c r="DUJ93" s="704"/>
      <c r="DUK93" s="704"/>
      <c r="DUL93" s="704"/>
      <c r="DUM93" s="704"/>
      <c r="DUN93" s="704"/>
      <c r="DUO93" s="704"/>
      <c r="DUP93" s="704"/>
      <c r="DUQ93" s="704"/>
      <c r="DUR93" s="704"/>
      <c r="DUS93" s="704"/>
      <c r="DUT93" s="704"/>
      <c r="DUU93" s="704"/>
      <c r="DUV93" s="704"/>
      <c r="DUW93" s="704"/>
      <c r="DUX93" s="704"/>
      <c r="DUY93" s="704"/>
      <c r="DUZ93" s="704"/>
      <c r="DVA93" s="704"/>
      <c r="DVB93" s="704"/>
      <c r="DVC93" s="704"/>
      <c r="DVD93" s="704"/>
      <c r="DVE93" s="704"/>
      <c r="DVF93" s="704"/>
      <c r="DVG93" s="704"/>
      <c r="DVH93" s="704"/>
      <c r="DVI93" s="704"/>
      <c r="DVJ93" s="704"/>
      <c r="DVK93" s="704"/>
      <c r="DVL93" s="704"/>
      <c r="DVM93" s="704"/>
      <c r="DVN93" s="704"/>
      <c r="DVO93" s="704"/>
      <c r="DVP93" s="704"/>
      <c r="DVQ93" s="704"/>
      <c r="DVR93" s="704"/>
      <c r="DVS93" s="704"/>
      <c r="DVT93" s="704"/>
      <c r="DVU93" s="704"/>
      <c r="DVV93" s="704"/>
      <c r="DVW93" s="704"/>
      <c r="DVX93" s="704"/>
      <c r="DVY93" s="704"/>
      <c r="DVZ93" s="704"/>
      <c r="DWA93" s="704"/>
      <c r="DWB93" s="704"/>
      <c r="DWC93" s="704"/>
      <c r="DWD93" s="704"/>
      <c r="DWE93" s="704"/>
      <c r="DWF93" s="704"/>
      <c r="DWG93" s="704"/>
      <c r="DWH93" s="704"/>
      <c r="DWI93" s="704"/>
      <c r="DWJ93" s="704"/>
      <c r="DWK93" s="704"/>
      <c r="DWL93" s="704"/>
      <c r="DWM93" s="704"/>
      <c r="DWN93" s="704"/>
      <c r="DWO93" s="704"/>
      <c r="DWP93" s="704"/>
      <c r="DWQ93" s="704"/>
      <c r="DWR93" s="704"/>
      <c r="DWS93" s="704"/>
      <c r="DWT93" s="704"/>
      <c r="DWU93" s="704"/>
      <c r="DWV93" s="704"/>
      <c r="DWW93" s="704"/>
      <c r="DWX93" s="704"/>
      <c r="DWY93" s="704"/>
      <c r="DXF93" s="704"/>
      <c r="DXG93" s="704"/>
      <c r="DXH93" s="704"/>
      <c r="DXI93" s="704"/>
      <c r="DXJ93" s="704"/>
      <c r="DXK93" s="704"/>
      <c r="DXL93" s="704"/>
      <c r="DXM93" s="704"/>
      <c r="DXN93" s="704"/>
      <c r="DXO93" s="704"/>
      <c r="DXP93" s="704"/>
      <c r="DXQ93" s="704"/>
      <c r="DXR93" s="704"/>
      <c r="DXS93" s="704"/>
      <c r="DXT93" s="704"/>
      <c r="DXU93" s="704"/>
      <c r="DXV93" s="704"/>
      <c r="DXW93" s="704"/>
      <c r="DXX93" s="704"/>
      <c r="DXY93" s="704"/>
      <c r="DXZ93" s="704"/>
      <c r="DYA93" s="704"/>
      <c r="DYB93" s="704"/>
      <c r="DYC93" s="704"/>
      <c r="DYD93" s="704"/>
      <c r="DYE93" s="704"/>
      <c r="DYF93" s="704"/>
      <c r="DYG93" s="704"/>
      <c r="DYH93" s="704"/>
      <c r="DYI93" s="704"/>
      <c r="DYJ93" s="704"/>
      <c r="DYK93" s="704"/>
      <c r="DYL93" s="704"/>
      <c r="DYM93" s="704"/>
      <c r="DYN93" s="704"/>
      <c r="DYO93" s="704"/>
      <c r="DYP93" s="704"/>
      <c r="DYQ93" s="704"/>
      <c r="DYR93" s="704"/>
      <c r="DYS93" s="704"/>
      <c r="DYT93" s="704"/>
      <c r="DYU93" s="704"/>
      <c r="DYV93" s="704"/>
      <c r="DYW93" s="704"/>
      <c r="DYX93" s="704"/>
      <c r="DYY93" s="704"/>
      <c r="DYZ93" s="704"/>
      <c r="DZA93" s="704"/>
      <c r="DZB93" s="704"/>
      <c r="DZC93" s="704"/>
      <c r="DZD93" s="704"/>
      <c r="DZE93" s="704"/>
      <c r="DZF93" s="704"/>
      <c r="DZG93" s="704"/>
      <c r="DZH93" s="704"/>
      <c r="DZI93" s="704"/>
      <c r="DZJ93" s="704"/>
      <c r="DZK93" s="704"/>
      <c r="DZL93" s="704"/>
      <c r="DZM93" s="704"/>
      <c r="DZN93" s="704"/>
      <c r="DZO93" s="704"/>
      <c r="DZP93" s="704"/>
      <c r="DZQ93" s="704"/>
      <c r="DZR93" s="704"/>
      <c r="DZS93" s="704"/>
      <c r="DZT93" s="704"/>
      <c r="DZU93" s="704"/>
      <c r="DZV93" s="704"/>
      <c r="DZW93" s="704"/>
      <c r="DZX93" s="704"/>
      <c r="DZY93" s="704"/>
      <c r="DZZ93" s="704"/>
      <c r="EAA93" s="704"/>
      <c r="EAB93" s="704"/>
      <c r="EAC93" s="704"/>
      <c r="EAD93" s="704"/>
      <c r="EAE93" s="704"/>
      <c r="EAF93" s="704"/>
      <c r="EAG93" s="704"/>
      <c r="EAH93" s="704"/>
      <c r="EAI93" s="704"/>
      <c r="EAJ93" s="704"/>
      <c r="EAK93" s="704"/>
      <c r="EAL93" s="704"/>
      <c r="EAM93" s="704"/>
      <c r="EAN93" s="704"/>
      <c r="EAO93" s="704"/>
      <c r="EAP93" s="704"/>
      <c r="EAQ93" s="704"/>
      <c r="EAR93" s="704"/>
      <c r="EAS93" s="704"/>
      <c r="EAT93" s="704"/>
      <c r="EAU93" s="704"/>
      <c r="EAV93" s="704"/>
      <c r="EAW93" s="704"/>
      <c r="EAX93" s="704"/>
      <c r="EAY93" s="704"/>
      <c r="EAZ93" s="704"/>
      <c r="EBA93" s="704"/>
      <c r="EBB93" s="704"/>
      <c r="EBC93" s="704"/>
      <c r="EBD93" s="704"/>
      <c r="EBE93" s="704"/>
      <c r="EBF93" s="704"/>
      <c r="EBG93" s="704"/>
      <c r="EBH93" s="704"/>
      <c r="EBI93" s="704"/>
      <c r="EBJ93" s="704"/>
      <c r="EBK93" s="704"/>
      <c r="EBL93" s="704"/>
      <c r="EBM93" s="704"/>
      <c r="EBN93" s="704"/>
      <c r="EBO93" s="704"/>
      <c r="EBP93" s="704"/>
      <c r="EBQ93" s="704"/>
      <c r="EBR93" s="704"/>
      <c r="EBS93" s="704"/>
      <c r="EBT93" s="704"/>
      <c r="EBU93" s="704"/>
      <c r="EBV93" s="704"/>
      <c r="EBW93" s="704"/>
      <c r="EBX93" s="704"/>
      <c r="EBY93" s="704"/>
      <c r="EBZ93" s="704"/>
      <c r="ECA93" s="704"/>
      <c r="ECB93" s="704"/>
      <c r="ECC93" s="704"/>
      <c r="ECD93" s="704"/>
      <c r="ECE93" s="704"/>
      <c r="ECF93" s="704"/>
      <c r="ECG93" s="704"/>
      <c r="ECH93" s="704"/>
      <c r="ECI93" s="704"/>
      <c r="ECJ93" s="704"/>
      <c r="ECK93" s="704"/>
      <c r="ECL93" s="704"/>
      <c r="ECM93" s="704"/>
      <c r="ECN93" s="704"/>
      <c r="ECO93" s="704"/>
      <c r="ECP93" s="704"/>
      <c r="ECQ93" s="704"/>
      <c r="ECR93" s="704"/>
      <c r="ECS93" s="704"/>
      <c r="ECT93" s="704"/>
      <c r="ECU93" s="704"/>
      <c r="ECV93" s="704"/>
      <c r="ECW93" s="704"/>
      <c r="ECX93" s="704"/>
      <c r="ECY93" s="704"/>
      <c r="ECZ93" s="704"/>
      <c r="EDA93" s="704"/>
      <c r="EDB93" s="704"/>
      <c r="EDC93" s="704"/>
      <c r="EDD93" s="704"/>
      <c r="EDE93" s="704"/>
      <c r="EDF93" s="704"/>
      <c r="EDG93" s="704"/>
      <c r="EDH93" s="704"/>
      <c r="EDI93" s="704"/>
      <c r="EDJ93" s="704"/>
      <c r="EDK93" s="704"/>
      <c r="EDL93" s="704"/>
      <c r="EDM93" s="704"/>
      <c r="EDN93" s="704"/>
      <c r="EDO93" s="704"/>
      <c r="EDP93" s="704"/>
      <c r="EDQ93" s="704"/>
      <c r="EDR93" s="704"/>
      <c r="EDS93" s="704"/>
      <c r="EDT93" s="704"/>
      <c r="EDU93" s="704"/>
      <c r="EDV93" s="704"/>
      <c r="EDW93" s="704"/>
      <c r="EDX93" s="704"/>
      <c r="EDY93" s="704"/>
      <c r="EDZ93" s="704"/>
      <c r="EEA93" s="704"/>
      <c r="EEB93" s="704"/>
      <c r="EEC93" s="704"/>
      <c r="EED93" s="704"/>
      <c r="EEE93" s="704"/>
      <c r="EEF93" s="704"/>
      <c r="EEG93" s="704"/>
      <c r="EEH93" s="704"/>
      <c r="EEI93" s="704"/>
      <c r="EEJ93" s="704"/>
      <c r="EEK93" s="704"/>
      <c r="EEL93" s="704"/>
      <c r="EEM93" s="704"/>
      <c r="EEN93" s="704"/>
      <c r="EEO93" s="704"/>
      <c r="EEP93" s="704"/>
      <c r="EEQ93" s="704"/>
      <c r="EER93" s="704"/>
      <c r="EES93" s="704"/>
      <c r="EET93" s="704"/>
      <c r="EEU93" s="704"/>
      <c r="EEV93" s="704"/>
      <c r="EEW93" s="704"/>
      <c r="EEX93" s="704"/>
      <c r="EEY93" s="704"/>
      <c r="EEZ93" s="704"/>
      <c r="EFA93" s="704"/>
      <c r="EFB93" s="704"/>
      <c r="EFC93" s="704"/>
      <c r="EFD93" s="704"/>
      <c r="EFE93" s="704"/>
      <c r="EFF93" s="704"/>
      <c r="EFG93" s="704"/>
      <c r="EFH93" s="704"/>
      <c r="EFI93" s="704"/>
      <c r="EFJ93" s="704"/>
      <c r="EFK93" s="704"/>
      <c r="EFL93" s="704"/>
      <c r="EFM93" s="704"/>
      <c r="EFN93" s="704"/>
      <c r="EFO93" s="704"/>
      <c r="EFP93" s="704"/>
      <c r="EFQ93" s="704"/>
      <c r="EFR93" s="704"/>
      <c r="EFS93" s="704"/>
      <c r="EFT93" s="704"/>
      <c r="EFU93" s="704"/>
      <c r="EFV93" s="704"/>
      <c r="EFW93" s="704"/>
      <c r="EFX93" s="704"/>
      <c r="EFY93" s="704"/>
      <c r="EFZ93" s="704"/>
      <c r="EGA93" s="704"/>
      <c r="EGB93" s="704"/>
      <c r="EGC93" s="704"/>
      <c r="EGD93" s="704"/>
      <c r="EGE93" s="704"/>
      <c r="EGF93" s="704"/>
      <c r="EGG93" s="704"/>
      <c r="EGH93" s="704"/>
      <c r="EGI93" s="704"/>
      <c r="EGJ93" s="704"/>
      <c r="EGK93" s="704"/>
      <c r="EGL93" s="704"/>
      <c r="EGM93" s="704"/>
      <c r="EGN93" s="704"/>
      <c r="EGO93" s="704"/>
      <c r="EGP93" s="704"/>
      <c r="EGQ93" s="704"/>
      <c r="EGR93" s="704"/>
      <c r="EGS93" s="704"/>
      <c r="EGT93" s="704"/>
      <c r="EGU93" s="704"/>
      <c r="EHB93" s="704"/>
      <c r="EHC93" s="704"/>
      <c r="EHD93" s="704"/>
      <c r="EHE93" s="704"/>
      <c r="EHF93" s="704"/>
      <c r="EHG93" s="704"/>
      <c r="EHH93" s="704"/>
      <c r="EHI93" s="704"/>
      <c r="EHJ93" s="704"/>
      <c r="EHK93" s="704"/>
      <c r="EHL93" s="704"/>
      <c r="EHM93" s="704"/>
      <c r="EHN93" s="704"/>
      <c r="EHO93" s="704"/>
      <c r="EHP93" s="704"/>
      <c r="EHQ93" s="704"/>
      <c r="EHR93" s="704"/>
      <c r="EHS93" s="704"/>
      <c r="EHT93" s="704"/>
      <c r="EHU93" s="704"/>
      <c r="EHV93" s="704"/>
      <c r="EHW93" s="704"/>
      <c r="EHX93" s="704"/>
      <c r="EHY93" s="704"/>
      <c r="EHZ93" s="704"/>
      <c r="EIA93" s="704"/>
      <c r="EIB93" s="704"/>
      <c r="EIC93" s="704"/>
      <c r="EID93" s="704"/>
      <c r="EIE93" s="704"/>
      <c r="EIF93" s="704"/>
      <c r="EIG93" s="704"/>
      <c r="EIH93" s="704"/>
      <c r="EII93" s="704"/>
      <c r="EIJ93" s="704"/>
      <c r="EIK93" s="704"/>
      <c r="EIL93" s="704"/>
      <c r="EIM93" s="704"/>
      <c r="EIN93" s="704"/>
      <c r="EIO93" s="704"/>
      <c r="EIP93" s="704"/>
      <c r="EIQ93" s="704"/>
      <c r="EIR93" s="704"/>
      <c r="EIS93" s="704"/>
      <c r="EIT93" s="704"/>
      <c r="EIU93" s="704"/>
      <c r="EIV93" s="704"/>
      <c r="EIW93" s="704"/>
      <c r="EIX93" s="704"/>
      <c r="EIY93" s="704"/>
      <c r="EIZ93" s="704"/>
      <c r="EJA93" s="704"/>
      <c r="EJB93" s="704"/>
      <c r="EJC93" s="704"/>
      <c r="EJD93" s="704"/>
      <c r="EJE93" s="704"/>
      <c r="EJF93" s="704"/>
      <c r="EJG93" s="704"/>
      <c r="EJH93" s="704"/>
      <c r="EJI93" s="704"/>
      <c r="EJJ93" s="704"/>
      <c r="EJK93" s="704"/>
      <c r="EJL93" s="704"/>
      <c r="EJM93" s="704"/>
      <c r="EJN93" s="704"/>
      <c r="EJO93" s="704"/>
      <c r="EJP93" s="704"/>
      <c r="EJQ93" s="704"/>
      <c r="EJR93" s="704"/>
      <c r="EJS93" s="704"/>
      <c r="EJT93" s="704"/>
      <c r="EJU93" s="704"/>
      <c r="EJV93" s="704"/>
      <c r="EJW93" s="704"/>
      <c r="EJX93" s="704"/>
      <c r="EJY93" s="704"/>
      <c r="EJZ93" s="704"/>
      <c r="EKA93" s="704"/>
      <c r="EKB93" s="704"/>
      <c r="EKC93" s="704"/>
      <c r="EKD93" s="704"/>
      <c r="EKE93" s="704"/>
      <c r="EKF93" s="704"/>
      <c r="EKG93" s="704"/>
      <c r="EKH93" s="704"/>
      <c r="EKI93" s="704"/>
      <c r="EKJ93" s="704"/>
      <c r="EKK93" s="704"/>
      <c r="EKL93" s="704"/>
      <c r="EKM93" s="704"/>
      <c r="EKN93" s="704"/>
      <c r="EKO93" s="704"/>
      <c r="EKP93" s="704"/>
      <c r="EKQ93" s="704"/>
      <c r="EKR93" s="704"/>
      <c r="EKS93" s="704"/>
      <c r="EKT93" s="704"/>
      <c r="EKU93" s="704"/>
      <c r="EKV93" s="704"/>
      <c r="EKW93" s="704"/>
      <c r="EKX93" s="704"/>
      <c r="EKY93" s="704"/>
      <c r="EKZ93" s="704"/>
      <c r="ELA93" s="704"/>
      <c r="ELB93" s="704"/>
      <c r="ELC93" s="704"/>
      <c r="ELD93" s="704"/>
      <c r="ELE93" s="704"/>
      <c r="ELF93" s="704"/>
      <c r="ELG93" s="704"/>
      <c r="ELH93" s="704"/>
      <c r="ELI93" s="704"/>
      <c r="ELJ93" s="704"/>
      <c r="ELK93" s="704"/>
      <c r="ELL93" s="704"/>
      <c r="ELM93" s="704"/>
      <c r="ELN93" s="704"/>
      <c r="ELO93" s="704"/>
      <c r="ELP93" s="704"/>
      <c r="ELQ93" s="704"/>
      <c r="ELR93" s="704"/>
      <c r="ELS93" s="704"/>
      <c r="ELT93" s="704"/>
      <c r="ELU93" s="704"/>
      <c r="ELV93" s="704"/>
      <c r="ELW93" s="704"/>
      <c r="ELX93" s="704"/>
      <c r="ELY93" s="704"/>
      <c r="ELZ93" s="704"/>
      <c r="EMA93" s="704"/>
      <c r="EMB93" s="704"/>
      <c r="EMC93" s="704"/>
      <c r="EMD93" s="704"/>
      <c r="EME93" s="704"/>
      <c r="EMF93" s="704"/>
      <c r="EMG93" s="704"/>
      <c r="EMH93" s="704"/>
      <c r="EMI93" s="704"/>
      <c r="EMJ93" s="704"/>
      <c r="EMK93" s="704"/>
      <c r="EML93" s="704"/>
      <c r="EMM93" s="704"/>
      <c r="EMN93" s="704"/>
      <c r="EMO93" s="704"/>
      <c r="EMP93" s="704"/>
      <c r="EMQ93" s="704"/>
      <c r="EMR93" s="704"/>
      <c r="EMS93" s="704"/>
      <c r="EMT93" s="704"/>
      <c r="EMU93" s="704"/>
      <c r="EMV93" s="704"/>
      <c r="EMW93" s="704"/>
      <c r="EMX93" s="704"/>
      <c r="EMY93" s="704"/>
      <c r="EMZ93" s="704"/>
      <c r="ENA93" s="704"/>
      <c r="ENB93" s="704"/>
      <c r="ENC93" s="704"/>
      <c r="END93" s="704"/>
      <c r="ENE93" s="704"/>
      <c r="ENF93" s="704"/>
      <c r="ENG93" s="704"/>
      <c r="ENH93" s="704"/>
      <c r="ENI93" s="704"/>
      <c r="ENJ93" s="704"/>
      <c r="ENK93" s="704"/>
      <c r="ENL93" s="704"/>
      <c r="ENM93" s="704"/>
      <c r="ENN93" s="704"/>
      <c r="ENO93" s="704"/>
      <c r="ENP93" s="704"/>
      <c r="ENQ93" s="704"/>
      <c r="ENR93" s="704"/>
      <c r="ENS93" s="704"/>
      <c r="ENT93" s="704"/>
      <c r="ENU93" s="704"/>
      <c r="ENV93" s="704"/>
      <c r="ENW93" s="704"/>
      <c r="ENX93" s="704"/>
      <c r="ENY93" s="704"/>
      <c r="ENZ93" s="704"/>
      <c r="EOA93" s="704"/>
      <c r="EOB93" s="704"/>
      <c r="EOC93" s="704"/>
      <c r="EOD93" s="704"/>
      <c r="EOE93" s="704"/>
      <c r="EOF93" s="704"/>
      <c r="EOG93" s="704"/>
      <c r="EOH93" s="704"/>
      <c r="EOI93" s="704"/>
      <c r="EOJ93" s="704"/>
      <c r="EOK93" s="704"/>
      <c r="EOL93" s="704"/>
      <c r="EOM93" s="704"/>
      <c r="EON93" s="704"/>
      <c r="EOO93" s="704"/>
      <c r="EOP93" s="704"/>
      <c r="EOQ93" s="704"/>
      <c r="EOR93" s="704"/>
      <c r="EOS93" s="704"/>
      <c r="EOT93" s="704"/>
      <c r="EOU93" s="704"/>
      <c r="EOV93" s="704"/>
      <c r="EOW93" s="704"/>
      <c r="EOX93" s="704"/>
      <c r="EOY93" s="704"/>
      <c r="EOZ93" s="704"/>
      <c r="EPA93" s="704"/>
      <c r="EPB93" s="704"/>
      <c r="EPC93" s="704"/>
      <c r="EPD93" s="704"/>
      <c r="EPE93" s="704"/>
      <c r="EPF93" s="704"/>
      <c r="EPG93" s="704"/>
      <c r="EPH93" s="704"/>
      <c r="EPI93" s="704"/>
      <c r="EPJ93" s="704"/>
      <c r="EPK93" s="704"/>
      <c r="EPL93" s="704"/>
      <c r="EPM93" s="704"/>
      <c r="EPN93" s="704"/>
      <c r="EPO93" s="704"/>
      <c r="EPP93" s="704"/>
      <c r="EPQ93" s="704"/>
      <c r="EPR93" s="704"/>
      <c r="EPS93" s="704"/>
      <c r="EPT93" s="704"/>
      <c r="EPU93" s="704"/>
      <c r="EPV93" s="704"/>
      <c r="EPW93" s="704"/>
      <c r="EPX93" s="704"/>
      <c r="EPY93" s="704"/>
      <c r="EPZ93" s="704"/>
      <c r="EQA93" s="704"/>
      <c r="EQB93" s="704"/>
      <c r="EQC93" s="704"/>
      <c r="EQD93" s="704"/>
      <c r="EQE93" s="704"/>
      <c r="EQF93" s="704"/>
      <c r="EQG93" s="704"/>
      <c r="EQH93" s="704"/>
      <c r="EQI93" s="704"/>
      <c r="EQJ93" s="704"/>
      <c r="EQK93" s="704"/>
      <c r="EQL93" s="704"/>
      <c r="EQM93" s="704"/>
      <c r="EQN93" s="704"/>
      <c r="EQO93" s="704"/>
      <c r="EQP93" s="704"/>
      <c r="EQQ93" s="704"/>
      <c r="EQX93" s="704"/>
      <c r="EQY93" s="704"/>
      <c r="EQZ93" s="704"/>
      <c r="ERA93" s="704"/>
      <c r="ERB93" s="704"/>
      <c r="ERC93" s="704"/>
      <c r="ERD93" s="704"/>
      <c r="ERE93" s="704"/>
      <c r="ERF93" s="704"/>
      <c r="ERG93" s="704"/>
      <c r="ERH93" s="704"/>
      <c r="ERI93" s="704"/>
      <c r="ERJ93" s="704"/>
      <c r="ERK93" s="704"/>
      <c r="ERL93" s="704"/>
      <c r="ERM93" s="704"/>
      <c r="ERN93" s="704"/>
      <c r="ERO93" s="704"/>
      <c r="ERP93" s="704"/>
      <c r="ERQ93" s="704"/>
      <c r="ERR93" s="704"/>
      <c r="ERS93" s="704"/>
      <c r="ERT93" s="704"/>
      <c r="ERU93" s="704"/>
      <c r="ERV93" s="704"/>
      <c r="ERW93" s="704"/>
      <c r="ERX93" s="704"/>
      <c r="ERY93" s="704"/>
      <c r="ERZ93" s="704"/>
      <c r="ESA93" s="704"/>
      <c r="ESB93" s="704"/>
      <c r="ESC93" s="704"/>
      <c r="ESD93" s="704"/>
      <c r="ESE93" s="704"/>
      <c r="ESF93" s="704"/>
      <c r="ESG93" s="704"/>
      <c r="ESH93" s="704"/>
      <c r="ESI93" s="704"/>
      <c r="ESJ93" s="704"/>
      <c r="ESK93" s="704"/>
      <c r="ESL93" s="704"/>
      <c r="ESM93" s="704"/>
      <c r="ESN93" s="704"/>
      <c r="ESO93" s="704"/>
      <c r="ESP93" s="704"/>
      <c r="ESQ93" s="704"/>
      <c r="ESR93" s="704"/>
      <c r="ESS93" s="704"/>
      <c r="EST93" s="704"/>
      <c r="ESU93" s="704"/>
      <c r="ESV93" s="704"/>
      <c r="ESW93" s="704"/>
      <c r="ESX93" s="704"/>
      <c r="ESY93" s="704"/>
      <c r="ESZ93" s="704"/>
      <c r="ETA93" s="704"/>
      <c r="ETB93" s="704"/>
      <c r="ETC93" s="704"/>
      <c r="ETD93" s="704"/>
      <c r="ETE93" s="704"/>
      <c r="ETF93" s="704"/>
      <c r="ETG93" s="704"/>
      <c r="ETH93" s="704"/>
      <c r="ETI93" s="704"/>
      <c r="ETJ93" s="704"/>
      <c r="ETK93" s="704"/>
      <c r="ETL93" s="704"/>
      <c r="ETM93" s="704"/>
      <c r="ETN93" s="704"/>
      <c r="ETO93" s="704"/>
      <c r="ETP93" s="704"/>
      <c r="ETQ93" s="704"/>
      <c r="ETR93" s="704"/>
      <c r="ETS93" s="704"/>
      <c r="ETT93" s="704"/>
      <c r="ETU93" s="704"/>
      <c r="ETV93" s="704"/>
      <c r="ETW93" s="704"/>
      <c r="ETX93" s="704"/>
      <c r="ETY93" s="704"/>
      <c r="ETZ93" s="704"/>
      <c r="EUA93" s="704"/>
      <c r="EUB93" s="704"/>
      <c r="EUC93" s="704"/>
      <c r="EUD93" s="704"/>
      <c r="EUE93" s="704"/>
      <c r="EUF93" s="704"/>
      <c r="EUG93" s="704"/>
      <c r="EUH93" s="704"/>
      <c r="EUI93" s="704"/>
      <c r="EUJ93" s="704"/>
      <c r="EUK93" s="704"/>
      <c r="EUL93" s="704"/>
      <c r="EUM93" s="704"/>
      <c r="EUN93" s="704"/>
      <c r="EUO93" s="704"/>
      <c r="EUP93" s="704"/>
      <c r="EUQ93" s="704"/>
      <c r="EUR93" s="704"/>
      <c r="EUS93" s="704"/>
      <c r="EUT93" s="704"/>
      <c r="EUU93" s="704"/>
      <c r="EUV93" s="704"/>
      <c r="EUW93" s="704"/>
      <c r="EUX93" s="704"/>
      <c r="EUY93" s="704"/>
      <c r="EUZ93" s="704"/>
      <c r="EVA93" s="704"/>
      <c r="EVB93" s="704"/>
      <c r="EVC93" s="704"/>
      <c r="EVD93" s="704"/>
      <c r="EVE93" s="704"/>
      <c r="EVF93" s="704"/>
      <c r="EVG93" s="704"/>
      <c r="EVH93" s="704"/>
      <c r="EVI93" s="704"/>
      <c r="EVJ93" s="704"/>
      <c r="EVK93" s="704"/>
      <c r="EVL93" s="704"/>
      <c r="EVM93" s="704"/>
      <c r="EVN93" s="704"/>
      <c r="EVO93" s="704"/>
      <c r="EVP93" s="704"/>
      <c r="EVQ93" s="704"/>
      <c r="EVR93" s="704"/>
      <c r="EVS93" s="704"/>
      <c r="EVT93" s="704"/>
      <c r="EVU93" s="704"/>
      <c r="EVV93" s="704"/>
      <c r="EVW93" s="704"/>
      <c r="EVX93" s="704"/>
      <c r="EVY93" s="704"/>
      <c r="EVZ93" s="704"/>
      <c r="EWA93" s="704"/>
      <c r="EWB93" s="704"/>
      <c r="EWC93" s="704"/>
      <c r="EWD93" s="704"/>
      <c r="EWE93" s="704"/>
      <c r="EWF93" s="704"/>
      <c r="EWG93" s="704"/>
      <c r="EWH93" s="704"/>
      <c r="EWI93" s="704"/>
      <c r="EWJ93" s="704"/>
      <c r="EWK93" s="704"/>
      <c r="EWL93" s="704"/>
      <c r="EWM93" s="704"/>
      <c r="EWN93" s="704"/>
      <c r="EWO93" s="704"/>
      <c r="EWP93" s="704"/>
      <c r="EWQ93" s="704"/>
      <c r="EWR93" s="704"/>
      <c r="EWS93" s="704"/>
      <c r="EWT93" s="704"/>
      <c r="EWU93" s="704"/>
      <c r="EWV93" s="704"/>
      <c r="EWW93" s="704"/>
      <c r="EWX93" s="704"/>
      <c r="EWY93" s="704"/>
      <c r="EWZ93" s="704"/>
      <c r="EXA93" s="704"/>
      <c r="EXB93" s="704"/>
      <c r="EXC93" s="704"/>
      <c r="EXD93" s="704"/>
      <c r="EXE93" s="704"/>
      <c r="EXF93" s="704"/>
      <c r="EXG93" s="704"/>
      <c r="EXH93" s="704"/>
      <c r="EXI93" s="704"/>
      <c r="EXJ93" s="704"/>
      <c r="EXK93" s="704"/>
      <c r="EXL93" s="704"/>
      <c r="EXM93" s="704"/>
      <c r="EXN93" s="704"/>
      <c r="EXO93" s="704"/>
      <c r="EXP93" s="704"/>
      <c r="EXQ93" s="704"/>
      <c r="EXR93" s="704"/>
      <c r="EXS93" s="704"/>
      <c r="EXT93" s="704"/>
      <c r="EXU93" s="704"/>
      <c r="EXV93" s="704"/>
      <c r="EXW93" s="704"/>
      <c r="EXX93" s="704"/>
      <c r="EXY93" s="704"/>
      <c r="EXZ93" s="704"/>
      <c r="EYA93" s="704"/>
      <c r="EYB93" s="704"/>
      <c r="EYC93" s="704"/>
      <c r="EYD93" s="704"/>
      <c r="EYE93" s="704"/>
      <c r="EYF93" s="704"/>
      <c r="EYG93" s="704"/>
      <c r="EYH93" s="704"/>
      <c r="EYI93" s="704"/>
      <c r="EYJ93" s="704"/>
      <c r="EYK93" s="704"/>
      <c r="EYL93" s="704"/>
      <c r="EYM93" s="704"/>
      <c r="EYN93" s="704"/>
      <c r="EYO93" s="704"/>
      <c r="EYP93" s="704"/>
      <c r="EYQ93" s="704"/>
      <c r="EYR93" s="704"/>
      <c r="EYS93" s="704"/>
      <c r="EYT93" s="704"/>
      <c r="EYU93" s="704"/>
      <c r="EYV93" s="704"/>
      <c r="EYW93" s="704"/>
      <c r="EYX93" s="704"/>
      <c r="EYY93" s="704"/>
      <c r="EYZ93" s="704"/>
      <c r="EZA93" s="704"/>
      <c r="EZB93" s="704"/>
      <c r="EZC93" s="704"/>
      <c r="EZD93" s="704"/>
      <c r="EZE93" s="704"/>
      <c r="EZF93" s="704"/>
      <c r="EZG93" s="704"/>
      <c r="EZH93" s="704"/>
      <c r="EZI93" s="704"/>
      <c r="EZJ93" s="704"/>
      <c r="EZK93" s="704"/>
      <c r="EZL93" s="704"/>
      <c r="EZM93" s="704"/>
      <c r="EZN93" s="704"/>
      <c r="EZO93" s="704"/>
      <c r="EZP93" s="704"/>
      <c r="EZQ93" s="704"/>
      <c r="EZR93" s="704"/>
      <c r="EZS93" s="704"/>
      <c r="EZT93" s="704"/>
      <c r="EZU93" s="704"/>
      <c r="EZV93" s="704"/>
      <c r="EZW93" s="704"/>
      <c r="EZX93" s="704"/>
      <c r="EZY93" s="704"/>
      <c r="EZZ93" s="704"/>
      <c r="FAA93" s="704"/>
      <c r="FAB93" s="704"/>
      <c r="FAC93" s="704"/>
      <c r="FAD93" s="704"/>
      <c r="FAE93" s="704"/>
      <c r="FAF93" s="704"/>
      <c r="FAG93" s="704"/>
      <c r="FAH93" s="704"/>
      <c r="FAI93" s="704"/>
      <c r="FAJ93" s="704"/>
      <c r="FAK93" s="704"/>
      <c r="FAL93" s="704"/>
      <c r="FAM93" s="704"/>
      <c r="FAT93" s="704"/>
      <c r="FAU93" s="704"/>
      <c r="FAV93" s="704"/>
      <c r="FAW93" s="704"/>
      <c r="FAX93" s="704"/>
      <c r="FAY93" s="704"/>
      <c r="FAZ93" s="704"/>
      <c r="FBA93" s="704"/>
      <c r="FBB93" s="704"/>
      <c r="FBC93" s="704"/>
      <c r="FBD93" s="704"/>
      <c r="FBE93" s="704"/>
      <c r="FBF93" s="704"/>
      <c r="FBG93" s="704"/>
      <c r="FBH93" s="704"/>
      <c r="FBI93" s="704"/>
      <c r="FBJ93" s="704"/>
      <c r="FBK93" s="704"/>
      <c r="FBL93" s="704"/>
      <c r="FBM93" s="704"/>
      <c r="FBN93" s="704"/>
      <c r="FBO93" s="704"/>
      <c r="FBP93" s="704"/>
      <c r="FBQ93" s="704"/>
      <c r="FBR93" s="704"/>
      <c r="FBS93" s="704"/>
      <c r="FBT93" s="704"/>
      <c r="FBU93" s="704"/>
      <c r="FBV93" s="704"/>
      <c r="FBW93" s="704"/>
      <c r="FBX93" s="704"/>
      <c r="FBY93" s="704"/>
      <c r="FBZ93" s="704"/>
      <c r="FCA93" s="704"/>
      <c r="FCB93" s="704"/>
      <c r="FCC93" s="704"/>
      <c r="FCD93" s="704"/>
      <c r="FCE93" s="704"/>
      <c r="FCF93" s="704"/>
      <c r="FCG93" s="704"/>
      <c r="FCH93" s="704"/>
      <c r="FCI93" s="704"/>
      <c r="FCJ93" s="704"/>
      <c r="FCK93" s="704"/>
      <c r="FCL93" s="704"/>
      <c r="FCM93" s="704"/>
      <c r="FCN93" s="704"/>
      <c r="FCO93" s="704"/>
      <c r="FCP93" s="704"/>
      <c r="FCQ93" s="704"/>
      <c r="FCR93" s="704"/>
      <c r="FCS93" s="704"/>
      <c r="FCT93" s="704"/>
      <c r="FCU93" s="704"/>
      <c r="FCV93" s="704"/>
      <c r="FCW93" s="704"/>
      <c r="FCX93" s="704"/>
      <c r="FCY93" s="704"/>
      <c r="FCZ93" s="704"/>
      <c r="FDA93" s="704"/>
      <c r="FDB93" s="704"/>
      <c r="FDC93" s="704"/>
      <c r="FDD93" s="704"/>
      <c r="FDE93" s="704"/>
      <c r="FDF93" s="704"/>
      <c r="FDG93" s="704"/>
      <c r="FDH93" s="704"/>
      <c r="FDI93" s="704"/>
      <c r="FDJ93" s="704"/>
      <c r="FDK93" s="704"/>
      <c r="FDL93" s="704"/>
      <c r="FDM93" s="704"/>
      <c r="FDN93" s="704"/>
      <c r="FDO93" s="704"/>
      <c r="FDP93" s="704"/>
      <c r="FDQ93" s="704"/>
      <c r="FDR93" s="704"/>
      <c r="FDS93" s="704"/>
      <c r="FDT93" s="704"/>
      <c r="FDU93" s="704"/>
      <c r="FDV93" s="704"/>
      <c r="FDW93" s="704"/>
      <c r="FDX93" s="704"/>
      <c r="FDY93" s="704"/>
      <c r="FDZ93" s="704"/>
      <c r="FEA93" s="704"/>
      <c r="FEB93" s="704"/>
      <c r="FEC93" s="704"/>
      <c r="FED93" s="704"/>
      <c r="FEE93" s="704"/>
      <c r="FEF93" s="704"/>
      <c r="FEG93" s="704"/>
      <c r="FEH93" s="704"/>
      <c r="FEI93" s="704"/>
      <c r="FEJ93" s="704"/>
      <c r="FEK93" s="704"/>
      <c r="FEL93" s="704"/>
      <c r="FEM93" s="704"/>
      <c r="FEN93" s="704"/>
      <c r="FEO93" s="704"/>
      <c r="FEP93" s="704"/>
      <c r="FEQ93" s="704"/>
      <c r="FER93" s="704"/>
      <c r="FES93" s="704"/>
      <c r="FET93" s="704"/>
      <c r="FEU93" s="704"/>
      <c r="FEV93" s="704"/>
      <c r="FEW93" s="704"/>
      <c r="FEX93" s="704"/>
      <c r="FEY93" s="704"/>
      <c r="FEZ93" s="704"/>
      <c r="FFA93" s="704"/>
      <c r="FFB93" s="704"/>
      <c r="FFC93" s="704"/>
      <c r="FFD93" s="704"/>
      <c r="FFE93" s="704"/>
      <c r="FFF93" s="704"/>
      <c r="FFG93" s="704"/>
      <c r="FFH93" s="704"/>
      <c r="FFI93" s="704"/>
      <c r="FFJ93" s="704"/>
      <c r="FFK93" s="704"/>
      <c r="FFL93" s="704"/>
      <c r="FFM93" s="704"/>
      <c r="FFN93" s="704"/>
      <c r="FFO93" s="704"/>
      <c r="FFP93" s="704"/>
      <c r="FFQ93" s="704"/>
      <c r="FFR93" s="704"/>
      <c r="FFS93" s="704"/>
      <c r="FFT93" s="704"/>
      <c r="FFU93" s="704"/>
      <c r="FFV93" s="704"/>
      <c r="FFW93" s="704"/>
      <c r="FFX93" s="704"/>
      <c r="FFY93" s="704"/>
      <c r="FFZ93" s="704"/>
      <c r="FGA93" s="704"/>
      <c r="FGB93" s="704"/>
      <c r="FGC93" s="704"/>
      <c r="FGD93" s="704"/>
      <c r="FGE93" s="704"/>
      <c r="FGF93" s="704"/>
      <c r="FGG93" s="704"/>
      <c r="FGH93" s="704"/>
      <c r="FGI93" s="704"/>
      <c r="FGJ93" s="704"/>
      <c r="FGK93" s="704"/>
      <c r="FGL93" s="704"/>
      <c r="FGM93" s="704"/>
      <c r="FGN93" s="704"/>
      <c r="FGO93" s="704"/>
      <c r="FGP93" s="704"/>
      <c r="FGQ93" s="704"/>
      <c r="FGR93" s="704"/>
      <c r="FGS93" s="704"/>
      <c r="FGT93" s="704"/>
      <c r="FGU93" s="704"/>
      <c r="FGV93" s="704"/>
      <c r="FGW93" s="704"/>
      <c r="FGX93" s="704"/>
      <c r="FGY93" s="704"/>
      <c r="FGZ93" s="704"/>
      <c r="FHA93" s="704"/>
      <c r="FHB93" s="704"/>
      <c r="FHC93" s="704"/>
      <c r="FHD93" s="704"/>
      <c r="FHE93" s="704"/>
      <c r="FHF93" s="704"/>
      <c r="FHG93" s="704"/>
      <c r="FHH93" s="704"/>
      <c r="FHI93" s="704"/>
      <c r="FHJ93" s="704"/>
      <c r="FHK93" s="704"/>
      <c r="FHL93" s="704"/>
      <c r="FHM93" s="704"/>
      <c r="FHN93" s="704"/>
      <c r="FHO93" s="704"/>
      <c r="FHP93" s="704"/>
      <c r="FHQ93" s="704"/>
      <c r="FHR93" s="704"/>
      <c r="FHS93" s="704"/>
      <c r="FHT93" s="704"/>
      <c r="FHU93" s="704"/>
      <c r="FHV93" s="704"/>
      <c r="FHW93" s="704"/>
      <c r="FHX93" s="704"/>
      <c r="FHY93" s="704"/>
      <c r="FHZ93" s="704"/>
      <c r="FIA93" s="704"/>
      <c r="FIB93" s="704"/>
      <c r="FIC93" s="704"/>
      <c r="FID93" s="704"/>
      <c r="FIE93" s="704"/>
      <c r="FIF93" s="704"/>
      <c r="FIG93" s="704"/>
      <c r="FIH93" s="704"/>
      <c r="FII93" s="704"/>
      <c r="FIJ93" s="704"/>
      <c r="FIK93" s="704"/>
      <c r="FIL93" s="704"/>
      <c r="FIM93" s="704"/>
      <c r="FIN93" s="704"/>
      <c r="FIO93" s="704"/>
      <c r="FIP93" s="704"/>
      <c r="FIQ93" s="704"/>
      <c r="FIR93" s="704"/>
      <c r="FIS93" s="704"/>
      <c r="FIT93" s="704"/>
      <c r="FIU93" s="704"/>
      <c r="FIV93" s="704"/>
      <c r="FIW93" s="704"/>
      <c r="FIX93" s="704"/>
      <c r="FIY93" s="704"/>
      <c r="FIZ93" s="704"/>
      <c r="FJA93" s="704"/>
      <c r="FJB93" s="704"/>
      <c r="FJC93" s="704"/>
      <c r="FJD93" s="704"/>
      <c r="FJE93" s="704"/>
      <c r="FJF93" s="704"/>
      <c r="FJG93" s="704"/>
      <c r="FJH93" s="704"/>
      <c r="FJI93" s="704"/>
      <c r="FJJ93" s="704"/>
      <c r="FJK93" s="704"/>
      <c r="FJL93" s="704"/>
      <c r="FJM93" s="704"/>
      <c r="FJN93" s="704"/>
      <c r="FJO93" s="704"/>
      <c r="FJP93" s="704"/>
      <c r="FJQ93" s="704"/>
      <c r="FJR93" s="704"/>
      <c r="FJS93" s="704"/>
      <c r="FJT93" s="704"/>
      <c r="FJU93" s="704"/>
      <c r="FJV93" s="704"/>
      <c r="FJW93" s="704"/>
      <c r="FJX93" s="704"/>
      <c r="FJY93" s="704"/>
      <c r="FJZ93" s="704"/>
      <c r="FKA93" s="704"/>
      <c r="FKB93" s="704"/>
      <c r="FKC93" s="704"/>
      <c r="FKD93" s="704"/>
      <c r="FKE93" s="704"/>
      <c r="FKF93" s="704"/>
      <c r="FKG93" s="704"/>
      <c r="FKH93" s="704"/>
      <c r="FKI93" s="704"/>
      <c r="FKP93" s="704"/>
      <c r="FKQ93" s="704"/>
      <c r="FKR93" s="704"/>
      <c r="FKS93" s="704"/>
      <c r="FKT93" s="704"/>
      <c r="FKU93" s="704"/>
      <c r="FKV93" s="704"/>
      <c r="FKW93" s="704"/>
      <c r="FKX93" s="704"/>
      <c r="FKY93" s="704"/>
      <c r="FKZ93" s="704"/>
      <c r="FLA93" s="704"/>
      <c r="FLB93" s="704"/>
      <c r="FLC93" s="704"/>
      <c r="FLD93" s="704"/>
      <c r="FLE93" s="704"/>
      <c r="FLF93" s="704"/>
      <c r="FLG93" s="704"/>
      <c r="FLH93" s="704"/>
      <c r="FLI93" s="704"/>
      <c r="FLJ93" s="704"/>
      <c r="FLK93" s="704"/>
      <c r="FLL93" s="704"/>
      <c r="FLM93" s="704"/>
      <c r="FLN93" s="704"/>
      <c r="FLO93" s="704"/>
      <c r="FLP93" s="704"/>
      <c r="FLQ93" s="704"/>
      <c r="FLR93" s="704"/>
      <c r="FLS93" s="704"/>
      <c r="FLT93" s="704"/>
      <c r="FLU93" s="704"/>
      <c r="FLV93" s="704"/>
      <c r="FLW93" s="704"/>
      <c r="FLX93" s="704"/>
      <c r="FLY93" s="704"/>
      <c r="FLZ93" s="704"/>
      <c r="FMA93" s="704"/>
      <c r="FMB93" s="704"/>
      <c r="FMC93" s="704"/>
      <c r="FMD93" s="704"/>
      <c r="FME93" s="704"/>
      <c r="FMF93" s="704"/>
      <c r="FMG93" s="704"/>
      <c r="FMH93" s="704"/>
      <c r="FMI93" s="704"/>
      <c r="FMJ93" s="704"/>
      <c r="FMK93" s="704"/>
      <c r="FML93" s="704"/>
      <c r="FMM93" s="704"/>
      <c r="FMN93" s="704"/>
      <c r="FMO93" s="704"/>
      <c r="FMP93" s="704"/>
      <c r="FMQ93" s="704"/>
      <c r="FMR93" s="704"/>
      <c r="FMS93" s="704"/>
      <c r="FMT93" s="704"/>
      <c r="FMU93" s="704"/>
      <c r="FMV93" s="704"/>
      <c r="FMW93" s="704"/>
      <c r="FMX93" s="704"/>
      <c r="FMY93" s="704"/>
      <c r="FMZ93" s="704"/>
      <c r="FNA93" s="704"/>
      <c r="FNB93" s="704"/>
      <c r="FNC93" s="704"/>
      <c r="FND93" s="704"/>
      <c r="FNE93" s="704"/>
      <c r="FNF93" s="704"/>
      <c r="FNG93" s="704"/>
      <c r="FNH93" s="704"/>
      <c r="FNI93" s="704"/>
      <c r="FNJ93" s="704"/>
      <c r="FNK93" s="704"/>
      <c r="FNL93" s="704"/>
      <c r="FNM93" s="704"/>
      <c r="FNN93" s="704"/>
      <c r="FNO93" s="704"/>
      <c r="FNP93" s="704"/>
      <c r="FNQ93" s="704"/>
      <c r="FNR93" s="704"/>
      <c r="FNS93" s="704"/>
      <c r="FNT93" s="704"/>
      <c r="FNU93" s="704"/>
      <c r="FNV93" s="704"/>
      <c r="FNW93" s="704"/>
      <c r="FNX93" s="704"/>
      <c r="FNY93" s="704"/>
      <c r="FNZ93" s="704"/>
      <c r="FOA93" s="704"/>
      <c r="FOB93" s="704"/>
      <c r="FOC93" s="704"/>
      <c r="FOD93" s="704"/>
      <c r="FOE93" s="704"/>
      <c r="FOF93" s="704"/>
      <c r="FOG93" s="704"/>
      <c r="FOH93" s="704"/>
      <c r="FOI93" s="704"/>
      <c r="FOJ93" s="704"/>
      <c r="FOK93" s="704"/>
      <c r="FOL93" s="704"/>
      <c r="FOM93" s="704"/>
      <c r="FON93" s="704"/>
      <c r="FOO93" s="704"/>
      <c r="FOP93" s="704"/>
      <c r="FOQ93" s="704"/>
      <c r="FOR93" s="704"/>
      <c r="FOS93" s="704"/>
      <c r="FOT93" s="704"/>
      <c r="FOU93" s="704"/>
      <c r="FOV93" s="704"/>
      <c r="FOW93" s="704"/>
      <c r="FOX93" s="704"/>
      <c r="FOY93" s="704"/>
      <c r="FOZ93" s="704"/>
      <c r="FPA93" s="704"/>
      <c r="FPB93" s="704"/>
      <c r="FPC93" s="704"/>
      <c r="FPD93" s="704"/>
      <c r="FPE93" s="704"/>
      <c r="FPF93" s="704"/>
      <c r="FPG93" s="704"/>
      <c r="FPH93" s="704"/>
      <c r="FPI93" s="704"/>
      <c r="FPJ93" s="704"/>
      <c r="FPK93" s="704"/>
      <c r="FPL93" s="704"/>
      <c r="FPM93" s="704"/>
      <c r="FPN93" s="704"/>
      <c r="FPO93" s="704"/>
      <c r="FPP93" s="704"/>
      <c r="FPQ93" s="704"/>
      <c r="FPR93" s="704"/>
      <c r="FPS93" s="704"/>
      <c r="FPT93" s="704"/>
      <c r="FPU93" s="704"/>
      <c r="FPV93" s="704"/>
      <c r="FPW93" s="704"/>
      <c r="FPX93" s="704"/>
      <c r="FPY93" s="704"/>
      <c r="FPZ93" s="704"/>
      <c r="FQA93" s="704"/>
      <c r="FQB93" s="704"/>
      <c r="FQC93" s="704"/>
      <c r="FQD93" s="704"/>
      <c r="FQE93" s="704"/>
      <c r="FQF93" s="704"/>
      <c r="FQG93" s="704"/>
      <c r="FQH93" s="704"/>
      <c r="FQI93" s="704"/>
      <c r="FQJ93" s="704"/>
      <c r="FQK93" s="704"/>
      <c r="FQL93" s="704"/>
      <c r="FQM93" s="704"/>
      <c r="FQN93" s="704"/>
      <c r="FQO93" s="704"/>
      <c r="FQP93" s="704"/>
      <c r="FQQ93" s="704"/>
      <c r="FQR93" s="704"/>
      <c r="FQS93" s="704"/>
      <c r="FQT93" s="704"/>
      <c r="FQU93" s="704"/>
      <c r="FQV93" s="704"/>
      <c r="FQW93" s="704"/>
      <c r="FQX93" s="704"/>
      <c r="FQY93" s="704"/>
      <c r="FQZ93" s="704"/>
      <c r="FRA93" s="704"/>
      <c r="FRB93" s="704"/>
      <c r="FRC93" s="704"/>
      <c r="FRD93" s="704"/>
      <c r="FRE93" s="704"/>
      <c r="FRF93" s="704"/>
      <c r="FRG93" s="704"/>
      <c r="FRH93" s="704"/>
      <c r="FRI93" s="704"/>
      <c r="FRJ93" s="704"/>
      <c r="FRK93" s="704"/>
      <c r="FRL93" s="704"/>
      <c r="FRM93" s="704"/>
      <c r="FRN93" s="704"/>
      <c r="FRO93" s="704"/>
      <c r="FRP93" s="704"/>
      <c r="FRQ93" s="704"/>
      <c r="FRR93" s="704"/>
      <c r="FRS93" s="704"/>
      <c r="FRT93" s="704"/>
      <c r="FRU93" s="704"/>
      <c r="FRV93" s="704"/>
      <c r="FRW93" s="704"/>
      <c r="FRX93" s="704"/>
      <c r="FRY93" s="704"/>
      <c r="FRZ93" s="704"/>
      <c r="FSA93" s="704"/>
      <c r="FSB93" s="704"/>
      <c r="FSC93" s="704"/>
      <c r="FSD93" s="704"/>
      <c r="FSE93" s="704"/>
      <c r="FSF93" s="704"/>
      <c r="FSG93" s="704"/>
      <c r="FSH93" s="704"/>
      <c r="FSI93" s="704"/>
      <c r="FSJ93" s="704"/>
      <c r="FSK93" s="704"/>
      <c r="FSL93" s="704"/>
      <c r="FSM93" s="704"/>
      <c r="FSN93" s="704"/>
      <c r="FSO93" s="704"/>
      <c r="FSP93" s="704"/>
      <c r="FSQ93" s="704"/>
      <c r="FSR93" s="704"/>
      <c r="FSS93" s="704"/>
      <c r="FST93" s="704"/>
      <c r="FSU93" s="704"/>
      <c r="FSV93" s="704"/>
      <c r="FSW93" s="704"/>
      <c r="FSX93" s="704"/>
      <c r="FSY93" s="704"/>
      <c r="FSZ93" s="704"/>
      <c r="FTA93" s="704"/>
      <c r="FTB93" s="704"/>
      <c r="FTC93" s="704"/>
      <c r="FTD93" s="704"/>
      <c r="FTE93" s="704"/>
      <c r="FTF93" s="704"/>
      <c r="FTG93" s="704"/>
      <c r="FTH93" s="704"/>
      <c r="FTI93" s="704"/>
      <c r="FTJ93" s="704"/>
      <c r="FTK93" s="704"/>
      <c r="FTL93" s="704"/>
      <c r="FTM93" s="704"/>
      <c r="FTN93" s="704"/>
      <c r="FTO93" s="704"/>
      <c r="FTP93" s="704"/>
      <c r="FTQ93" s="704"/>
      <c r="FTR93" s="704"/>
      <c r="FTS93" s="704"/>
      <c r="FTT93" s="704"/>
      <c r="FTU93" s="704"/>
      <c r="FTV93" s="704"/>
      <c r="FTW93" s="704"/>
      <c r="FTX93" s="704"/>
      <c r="FTY93" s="704"/>
      <c r="FTZ93" s="704"/>
      <c r="FUA93" s="704"/>
      <c r="FUB93" s="704"/>
      <c r="FUC93" s="704"/>
      <c r="FUD93" s="704"/>
      <c r="FUE93" s="704"/>
      <c r="FUL93" s="704"/>
      <c r="FUM93" s="704"/>
      <c r="FUN93" s="704"/>
      <c r="FUO93" s="704"/>
      <c r="FUP93" s="704"/>
      <c r="FUQ93" s="704"/>
      <c r="FUR93" s="704"/>
      <c r="FUS93" s="704"/>
      <c r="FUT93" s="704"/>
      <c r="FUU93" s="704"/>
      <c r="FUV93" s="704"/>
      <c r="FUW93" s="704"/>
      <c r="FUX93" s="704"/>
      <c r="FUY93" s="704"/>
      <c r="FUZ93" s="704"/>
      <c r="FVA93" s="704"/>
      <c r="FVB93" s="704"/>
      <c r="FVC93" s="704"/>
      <c r="FVD93" s="704"/>
      <c r="FVE93" s="704"/>
      <c r="FVF93" s="704"/>
      <c r="FVG93" s="704"/>
      <c r="FVH93" s="704"/>
      <c r="FVI93" s="704"/>
      <c r="FVJ93" s="704"/>
      <c r="FVK93" s="704"/>
      <c r="FVL93" s="704"/>
      <c r="FVM93" s="704"/>
      <c r="FVN93" s="704"/>
      <c r="FVO93" s="704"/>
      <c r="FVP93" s="704"/>
      <c r="FVQ93" s="704"/>
      <c r="FVR93" s="704"/>
      <c r="FVS93" s="704"/>
      <c r="FVT93" s="704"/>
      <c r="FVU93" s="704"/>
      <c r="FVV93" s="704"/>
      <c r="FVW93" s="704"/>
      <c r="FVX93" s="704"/>
      <c r="FVY93" s="704"/>
      <c r="FVZ93" s="704"/>
      <c r="FWA93" s="704"/>
      <c r="FWB93" s="704"/>
      <c r="FWC93" s="704"/>
      <c r="FWD93" s="704"/>
      <c r="FWE93" s="704"/>
      <c r="FWF93" s="704"/>
      <c r="FWG93" s="704"/>
      <c r="FWH93" s="704"/>
      <c r="FWI93" s="704"/>
      <c r="FWJ93" s="704"/>
      <c r="FWK93" s="704"/>
      <c r="FWL93" s="704"/>
      <c r="FWM93" s="704"/>
      <c r="FWN93" s="704"/>
      <c r="FWO93" s="704"/>
      <c r="FWP93" s="704"/>
      <c r="FWQ93" s="704"/>
      <c r="FWR93" s="704"/>
      <c r="FWS93" s="704"/>
      <c r="FWT93" s="704"/>
      <c r="FWU93" s="704"/>
      <c r="FWV93" s="704"/>
      <c r="FWW93" s="704"/>
      <c r="FWX93" s="704"/>
      <c r="FWY93" s="704"/>
      <c r="FWZ93" s="704"/>
      <c r="FXA93" s="704"/>
      <c r="FXB93" s="704"/>
      <c r="FXC93" s="704"/>
      <c r="FXD93" s="704"/>
      <c r="FXE93" s="704"/>
      <c r="FXF93" s="704"/>
      <c r="FXG93" s="704"/>
      <c r="FXH93" s="704"/>
      <c r="FXI93" s="704"/>
      <c r="FXJ93" s="704"/>
      <c r="FXK93" s="704"/>
      <c r="FXL93" s="704"/>
      <c r="FXM93" s="704"/>
      <c r="FXN93" s="704"/>
      <c r="FXO93" s="704"/>
      <c r="FXP93" s="704"/>
      <c r="FXQ93" s="704"/>
      <c r="FXR93" s="704"/>
      <c r="FXS93" s="704"/>
      <c r="FXT93" s="704"/>
      <c r="FXU93" s="704"/>
      <c r="FXV93" s="704"/>
      <c r="FXW93" s="704"/>
      <c r="FXX93" s="704"/>
      <c r="FXY93" s="704"/>
      <c r="FXZ93" s="704"/>
      <c r="FYA93" s="704"/>
      <c r="FYB93" s="704"/>
      <c r="FYC93" s="704"/>
      <c r="FYD93" s="704"/>
      <c r="FYE93" s="704"/>
      <c r="FYF93" s="704"/>
      <c r="FYG93" s="704"/>
      <c r="FYH93" s="704"/>
      <c r="FYI93" s="704"/>
      <c r="FYJ93" s="704"/>
      <c r="FYK93" s="704"/>
      <c r="FYL93" s="704"/>
      <c r="FYM93" s="704"/>
      <c r="FYN93" s="704"/>
      <c r="FYO93" s="704"/>
      <c r="FYP93" s="704"/>
      <c r="FYQ93" s="704"/>
      <c r="FYR93" s="704"/>
      <c r="FYS93" s="704"/>
      <c r="FYT93" s="704"/>
      <c r="FYU93" s="704"/>
      <c r="FYV93" s="704"/>
      <c r="FYW93" s="704"/>
      <c r="FYX93" s="704"/>
      <c r="FYY93" s="704"/>
      <c r="FYZ93" s="704"/>
      <c r="FZA93" s="704"/>
      <c r="FZB93" s="704"/>
      <c r="FZC93" s="704"/>
      <c r="FZD93" s="704"/>
      <c r="FZE93" s="704"/>
      <c r="FZF93" s="704"/>
      <c r="FZG93" s="704"/>
      <c r="FZH93" s="704"/>
      <c r="FZI93" s="704"/>
      <c r="FZJ93" s="704"/>
      <c r="FZK93" s="704"/>
      <c r="FZL93" s="704"/>
      <c r="FZM93" s="704"/>
      <c r="FZN93" s="704"/>
      <c r="FZO93" s="704"/>
      <c r="FZP93" s="704"/>
      <c r="FZQ93" s="704"/>
      <c r="FZR93" s="704"/>
      <c r="FZS93" s="704"/>
      <c r="FZT93" s="704"/>
      <c r="FZU93" s="704"/>
      <c r="FZV93" s="704"/>
      <c r="FZW93" s="704"/>
      <c r="FZX93" s="704"/>
      <c r="FZY93" s="704"/>
      <c r="FZZ93" s="704"/>
      <c r="GAA93" s="704"/>
      <c r="GAB93" s="704"/>
      <c r="GAC93" s="704"/>
      <c r="GAD93" s="704"/>
      <c r="GAE93" s="704"/>
      <c r="GAF93" s="704"/>
      <c r="GAG93" s="704"/>
      <c r="GAH93" s="704"/>
      <c r="GAI93" s="704"/>
      <c r="GAJ93" s="704"/>
      <c r="GAK93" s="704"/>
      <c r="GAL93" s="704"/>
      <c r="GAM93" s="704"/>
      <c r="GAN93" s="704"/>
      <c r="GAO93" s="704"/>
      <c r="GAP93" s="704"/>
      <c r="GAQ93" s="704"/>
      <c r="GAR93" s="704"/>
      <c r="GAS93" s="704"/>
      <c r="GAT93" s="704"/>
      <c r="GAU93" s="704"/>
      <c r="GAV93" s="704"/>
      <c r="GAW93" s="704"/>
      <c r="GAX93" s="704"/>
      <c r="GAY93" s="704"/>
      <c r="GAZ93" s="704"/>
      <c r="GBA93" s="704"/>
      <c r="GBB93" s="704"/>
      <c r="GBC93" s="704"/>
      <c r="GBD93" s="704"/>
      <c r="GBE93" s="704"/>
      <c r="GBF93" s="704"/>
      <c r="GBG93" s="704"/>
      <c r="GBH93" s="704"/>
      <c r="GBI93" s="704"/>
      <c r="GBJ93" s="704"/>
      <c r="GBK93" s="704"/>
      <c r="GBL93" s="704"/>
      <c r="GBM93" s="704"/>
      <c r="GBN93" s="704"/>
      <c r="GBO93" s="704"/>
      <c r="GBP93" s="704"/>
      <c r="GBQ93" s="704"/>
      <c r="GBR93" s="704"/>
      <c r="GBS93" s="704"/>
      <c r="GBT93" s="704"/>
      <c r="GBU93" s="704"/>
      <c r="GBV93" s="704"/>
      <c r="GBW93" s="704"/>
      <c r="GBX93" s="704"/>
      <c r="GBY93" s="704"/>
      <c r="GBZ93" s="704"/>
      <c r="GCA93" s="704"/>
      <c r="GCB93" s="704"/>
      <c r="GCC93" s="704"/>
      <c r="GCD93" s="704"/>
      <c r="GCE93" s="704"/>
      <c r="GCF93" s="704"/>
      <c r="GCG93" s="704"/>
      <c r="GCH93" s="704"/>
      <c r="GCI93" s="704"/>
      <c r="GCJ93" s="704"/>
      <c r="GCK93" s="704"/>
      <c r="GCL93" s="704"/>
      <c r="GCM93" s="704"/>
      <c r="GCN93" s="704"/>
      <c r="GCO93" s="704"/>
      <c r="GCP93" s="704"/>
      <c r="GCQ93" s="704"/>
      <c r="GCR93" s="704"/>
      <c r="GCS93" s="704"/>
      <c r="GCT93" s="704"/>
      <c r="GCU93" s="704"/>
      <c r="GCV93" s="704"/>
      <c r="GCW93" s="704"/>
      <c r="GCX93" s="704"/>
      <c r="GCY93" s="704"/>
      <c r="GCZ93" s="704"/>
      <c r="GDA93" s="704"/>
      <c r="GDB93" s="704"/>
      <c r="GDC93" s="704"/>
      <c r="GDD93" s="704"/>
      <c r="GDE93" s="704"/>
      <c r="GDF93" s="704"/>
      <c r="GDG93" s="704"/>
      <c r="GDH93" s="704"/>
      <c r="GDI93" s="704"/>
      <c r="GDJ93" s="704"/>
      <c r="GDK93" s="704"/>
      <c r="GDL93" s="704"/>
      <c r="GDM93" s="704"/>
      <c r="GDN93" s="704"/>
      <c r="GDO93" s="704"/>
      <c r="GDP93" s="704"/>
      <c r="GDQ93" s="704"/>
      <c r="GDR93" s="704"/>
      <c r="GDS93" s="704"/>
      <c r="GDT93" s="704"/>
      <c r="GDU93" s="704"/>
      <c r="GDV93" s="704"/>
      <c r="GDW93" s="704"/>
      <c r="GDX93" s="704"/>
      <c r="GDY93" s="704"/>
      <c r="GDZ93" s="704"/>
      <c r="GEA93" s="704"/>
      <c r="GEH93" s="704"/>
      <c r="GEI93" s="704"/>
      <c r="GEJ93" s="704"/>
      <c r="GEK93" s="704"/>
      <c r="GEL93" s="704"/>
      <c r="GEM93" s="704"/>
      <c r="GEN93" s="704"/>
      <c r="GEO93" s="704"/>
      <c r="GEP93" s="704"/>
      <c r="GEQ93" s="704"/>
      <c r="GER93" s="704"/>
      <c r="GES93" s="704"/>
      <c r="GET93" s="704"/>
      <c r="GEU93" s="704"/>
      <c r="GEV93" s="704"/>
      <c r="GEW93" s="704"/>
      <c r="GEX93" s="704"/>
      <c r="GEY93" s="704"/>
      <c r="GEZ93" s="704"/>
      <c r="GFA93" s="704"/>
      <c r="GFB93" s="704"/>
      <c r="GFC93" s="704"/>
      <c r="GFD93" s="704"/>
      <c r="GFE93" s="704"/>
      <c r="GFF93" s="704"/>
      <c r="GFG93" s="704"/>
      <c r="GFH93" s="704"/>
      <c r="GFI93" s="704"/>
      <c r="GFJ93" s="704"/>
      <c r="GFK93" s="704"/>
      <c r="GFL93" s="704"/>
      <c r="GFM93" s="704"/>
      <c r="GFN93" s="704"/>
      <c r="GFO93" s="704"/>
      <c r="GFP93" s="704"/>
      <c r="GFQ93" s="704"/>
      <c r="GFR93" s="704"/>
      <c r="GFS93" s="704"/>
      <c r="GFT93" s="704"/>
      <c r="GFU93" s="704"/>
      <c r="GFV93" s="704"/>
      <c r="GFW93" s="704"/>
      <c r="GFX93" s="704"/>
      <c r="GFY93" s="704"/>
      <c r="GFZ93" s="704"/>
      <c r="GGA93" s="704"/>
      <c r="GGB93" s="704"/>
      <c r="GGC93" s="704"/>
      <c r="GGD93" s="704"/>
      <c r="GGE93" s="704"/>
      <c r="GGF93" s="704"/>
      <c r="GGG93" s="704"/>
      <c r="GGH93" s="704"/>
      <c r="GGI93" s="704"/>
      <c r="GGJ93" s="704"/>
      <c r="GGK93" s="704"/>
      <c r="GGL93" s="704"/>
      <c r="GGM93" s="704"/>
      <c r="GGN93" s="704"/>
      <c r="GGO93" s="704"/>
      <c r="GGP93" s="704"/>
      <c r="GGQ93" s="704"/>
      <c r="GGR93" s="704"/>
      <c r="GGS93" s="704"/>
      <c r="GGT93" s="704"/>
      <c r="GGU93" s="704"/>
      <c r="GGV93" s="704"/>
      <c r="GGW93" s="704"/>
      <c r="GGX93" s="704"/>
      <c r="GGY93" s="704"/>
      <c r="GGZ93" s="704"/>
      <c r="GHA93" s="704"/>
      <c r="GHB93" s="704"/>
      <c r="GHC93" s="704"/>
      <c r="GHD93" s="704"/>
      <c r="GHE93" s="704"/>
      <c r="GHF93" s="704"/>
      <c r="GHG93" s="704"/>
      <c r="GHH93" s="704"/>
      <c r="GHI93" s="704"/>
      <c r="GHJ93" s="704"/>
      <c r="GHK93" s="704"/>
      <c r="GHL93" s="704"/>
      <c r="GHM93" s="704"/>
      <c r="GHN93" s="704"/>
      <c r="GHO93" s="704"/>
      <c r="GHP93" s="704"/>
      <c r="GHQ93" s="704"/>
      <c r="GHR93" s="704"/>
      <c r="GHS93" s="704"/>
      <c r="GHT93" s="704"/>
      <c r="GHU93" s="704"/>
      <c r="GHV93" s="704"/>
      <c r="GHW93" s="704"/>
      <c r="GHX93" s="704"/>
      <c r="GHY93" s="704"/>
      <c r="GHZ93" s="704"/>
      <c r="GIA93" s="704"/>
      <c r="GIB93" s="704"/>
      <c r="GIC93" s="704"/>
      <c r="GID93" s="704"/>
      <c r="GIE93" s="704"/>
      <c r="GIF93" s="704"/>
      <c r="GIG93" s="704"/>
      <c r="GIH93" s="704"/>
      <c r="GII93" s="704"/>
      <c r="GIJ93" s="704"/>
      <c r="GIK93" s="704"/>
      <c r="GIL93" s="704"/>
      <c r="GIM93" s="704"/>
      <c r="GIN93" s="704"/>
      <c r="GIO93" s="704"/>
      <c r="GIP93" s="704"/>
      <c r="GIQ93" s="704"/>
      <c r="GIR93" s="704"/>
      <c r="GIS93" s="704"/>
      <c r="GIT93" s="704"/>
      <c r="GIU93" s="704"/>
      <c r="GIV93" s="704"/>
      <c r="GIW93" s="704"/>
      <c r="GIX93" s="704"/>
      <c r="GIY93" s="704"/>
      <c r="GIZ93" s="704"/>
      <c r="GJA93" s="704"/>
      <c r="GJB93" s="704"/>
      <c r="GJC93" s="704"/>
      <c r="GJD93" s="704"/>
      <c r="GJE93" s="704"/>
      <c r="GJF93" s="704"/>
      <c r="GJG93" s="704"/>
      <c r="GJH93" s="704"/>
      <c r="GJI93" s="704"/>
      <c r="GJJ93" s="704"/>
      <c r="GJK93" s="704"/>
      <c r="GJL93" s="704"/>
      <c r="GJM93" s="704"/>
      <c r="GJN93" s="704"/>
      <c r="GJO93" s="704"/>
      <c r="GJP93" s="704"/>
      <c r="GJQ93" s="704"/>
      <c r="GJR93" s="704"/>
      <c r="GJS93" s="704"/>
      <c r="GJT93" s="704"/>
      <c r="GJU93" s="704"/>
      <c r="GJV93" s="704"/>
      <c r="GJW93" s="704"/>
      <c r="GJX93" s="704"/>
      <c r="GJY93" s="704"/>
      <c r="GJZ93" s="704"/>
      <c r="GKA93" s="704"/>
      <c r="GKB93" s="704"/>
      <c r="GKC93" s="704"/>
      <c r="GKD93" s="704"/>
      <c r="GKE93" s="704"/>
      <c r="GKF93" s="704"/>
      <c r="GKG93" s="704"/>
      <c r="GKH93" s="704"/>
      <c r="GKI93" s="704"/>
      <c r="GKJ93" s="704"/>
      <c r="GKK93" s="704"/>
      <c r="GKL93" s="704"/>
      <c r="GKM93" s="704"/>
      <c r="GKN93" s="704"/>
      <c r="GKO93" s="704"/>
      <c r="GKP93" s="704"/>
      <c r="GKQ93" s="704"/>
      <c r="GKR93" s="704"/>
      <c r="GKS93" s="704"/>
      <c r="GKT93" s="704"/>
      <c r="GKU93" s="704"/>
      <c r="GKV93" s="704"/>
      <c r="GKW93" s="704"/>
      <c r="GKX93" s="704"/>
      <c r="GKY93" s="704"/>
      <c r="GKZ93" s="704"/>
      <c r="GLA93" s="704"/>
      <c r="GLB93" s="704"/>
      <c r="GLC93" s="704"/>
      <c r="GLD93" s="704"/>
      <c r="GLE93" s="704"/>
      <c r="GLF93" s="704"/>
      <c r="GLG93" s="704"/>
      <c r="GLH93" s="704"/>
      <c r="GLI93" s="704"/>
      <c r="GLJ93" s="704"/>
      <c r="GLK93" s="704"/>
      <c r="GLL93" s="704"/>
      <c r="GLM93" s="704"/>
      <c r="GLN93" s="704"/>
      <c r="GLO93" s="704"/>
      <c r="GLP93" s="704"/>
      <c r="GLQ93" s="704"/>
      <c r="GLR93" s="704"/>
      <c r="GLS93" s="704"/>
      <c r="GLT93" s="704"/>
      <c r="GLU93" s="704"/>
      <c r="GLV93" s="704"/>
      <c r="GLW93" s="704"/>
      <c r="GLX93" s="704"/>
      <c r="GLY93" s="704"/>
      <c r="GLZ93" s="704"/>
      <c r="GMA93" s="704"/>
      <c r="GMB93" s="704"/>
      <c r="GMC93" s="704"/>
      <c r="GMD93" s="704"/>
      <c r="GME93" s="704"/>
      <c r="GMF93" s="704"/>
      <c r="GMG93" s="704"/>
      <c r="GMH93" s="704"/>
      <c r="GMI93" s="704"/>
      <c r="GMJ93" s="704"/>
      <c r="GMK93" s="704"/>
      <c r="GML93" s="704"/>
      <c r="GMM93" s="704"/>
      <c r="GMN93" s="704"/>
      <c r="GMO93" s="704"/>
      <c r="GMP93" s="704"/>
      <c r="GMQ93" s="704"/>
      <c r="GMR93" s="704"/>
      <c r="GMS93" s="704"/>
      <c r="GMT93" s="704"/>
      <c r="GMU93" s="704"/>
      <c r="GMV93" s="704"/>
      <c r="GMW93" s="704"/>
      <c r="GMX93" s="704"/>
      <c r="GMY93" s="704"/>
      <c r="GMZ93" s="704"/>
      <c r="GNA93" s="704"/>
      <c r="GNB93" s="704"/>
      <c r="GNC93" s="704"/>
      <c r="GND93" s="704"/>
      <c r="GNE93" s="704"/>
      <c r="GNF93" s="704"/>
      <c r="GNG93" s="704"/>
      <c r="GNH93" s="704"/>
      <c r="GNI93" s="704"/>
      <c r="GNJ93" s="704"/>
      <c r="GNK93" s="704"/>
      <c r="GNL93" s="704"/>
      <c r="GNM93" s="704"/>
      <c r="GNN93" s="704"/>
      <c r="GNO93" s="704"/>
      <c r="GNP93" s="704"/>
      <c r="GNQ93" s="704"/>
      <c r="GNR93" s="704"/>
      <c r="GNS93" s="704"/>
      <c r="GNT93" s="704"/>
      <c r="GNU93" s="704"/>
      <c r="GNV93" s="704"/>
      <c r="GNW93" s="704"/>
      <c r="GOD93" s="704"/>
      <c r="GOE93" s="704"/>
      <c r="GOF93" s="704"/>
      <c r="GOG93" s="704"/>
      <c r="GOH93" s="704"/>
      <c r="GOI93" s="704"/>
      <c r="GOJ93" s="704"/>
      <c r="GOK93" s="704"/>
      <c r="GOL93" s="704"/>
      <c r="GOM93" s="704"/>
      <c r="GON93" s="704"/>
      <c r="GOO93" s="704"/>
      <c r="GOP93" s="704"/>
      <c r="GOQ93" s="704"/>
      <c r="GOR93" s="704"/>
      <c r="GOS93" s="704"/>
      <c r="GOT93" s="704"/>
      <c r="GOU93" s="704"/>
      <c r="GOV93" s="704"/>
      <c r="GOW93" s="704"/>
      <c r="GOX93" s="704"/>
      <c r="GOY93" s="704"/>
      <c r="GOZ93" s="704"/>
      <c r="GPA93" s="704"/>
      <c r="GPB93" s="704"/>
      <c r="GPC93" s="704"/>
      <c r="GPD93" s="704"/>
      <c r="GPE93" s="704"/>
      <c r="GPF93" s="704"/>
      <c r="GPG93" s="704"/>
      <c r="GPH93" s="704"/>
      <c r="GPI93" s="704"/>
      <c r="GPJ93" s="704"/>
      <c r="GPK93" s="704"/>
      <c r="GPL93" s="704"/>
      <c r="GPM93" s="704"/>
      <c r="GPN93" s="704"/>
      <c r="GPO93" s="704"/>
      <c r="GPP93" s="704"/>
      <c r="GPQ93" s="704"/>
      <c r="GPR93" s="704"/>
      <c r="GPS93" s="704"/>
      <c r="GPT93" s="704"/>
      <c r="GPU93" s="704"/>
      <c r="GPV93" s="704"/>
      <c r="GPW93" s="704"/>
      <c r="GPX93" s="704"/>
      <c r="GPY93" s="704"/>
      <c r="GPZ93" s="704"/>
      <c r="GQA93" s="704"/>
      <c r="GQB93" s="704"/>
      <c r="GQC93" s="704"/>
      <c r="GQD93" s="704"/>
      <c r="GQE93" s="704"/>
      <c r="GQF93" s="704"/>
      <c r="GQG93" s="704"/>
      <c r="GQH93" s="704"/>
      <c r="GQI93" s="704"/>
      <c r="GQJ93" s="704"/>
      <c r="GQK93" s="704"/>
      <c r="GQL93" s="704"/>
      <c r="GQM93" s="704"/>
      <c r="GQN93" s="704"/>
      <c r="GQO93" s="704"/>
      <c r="GQP93" s="704"/>
      <c r="GQQ93" s="704"/>
      <c r="GQR93" s="704"/>
      <c r="GQS93" s="704"/>
      <c r="GQT93" s="704"/>
      <c r="GQU93" s="704"/>
      <c r="GQV93" s="704"/>
      <c r="GQW93" s="704"/>
      <c r="GQX93" s="704"/>
      <c r="GQY93" s="704"/>
      <c r="GQZ93" s="704"/>
      <c r="GRA93" s="704"/>
      <c r="GRB93" s="704"/>
      <c r="GRC93" s="704"/>
      <c r="GRD93" s="704"/>
      <c r="GRE93" s="704"/>
      <c r="GRF93" s="704"/>
      <c r="GRG93" s="704"/>
      <c r="GRH93" s="704"/>
      <c r="GRI93" s="704"/>
      <c r="GRJ93" s="704"/>
      <c r="GRK93" s="704"/>
      <c r="GRL93" s="704"/>
      <c r="GRM93" s="704"/>
      <c r="GRN93" s="704"/>
      <c r="GRO93" s="704"/>
      <c r="GRP93" s="704"/>
      <c r="GRQ93" s="704"/>
      <c r="GRR93" s="704"/>
      <c r="GRS93" s="704"/>
      <c r="GRT93" s="704"/>
      <c r="GRU93" s="704"/>
      <c r="GRV93" s="704"/>
      <c r="GRW93" s="704"/>
      <c r="GRX93" s="704"/>
      <c r="GRY93" s="704"/>
      <c r="GRZ93" s="704"/>
      <c r="GSA93" s="704"/>
      <c r="GSB93" s="704"/>
      <c r="GSC93" s="704"/>
      <c r="GSD93" s="704"/>
      <c r="GSE93" s="704"/>
      <c r="GSF93" s="704"/>
      <c r="GSG93" s="704"/>
      <c r="GSH93" s="704"/>
      <c r="GSI93" s="704"/>
      <c r="GSJ93" s="704"/>
      <c r="GSK93" s="704"/>
      <c r="GSL93" s="704"/>
      <c r="GSM93" s="704"/>
      <c r="GSN93" s="704"/>
      <c r="GSO93" s="704"/>
      <c r="GSP93" s="704"/>
      <c r="GSQ93" s="704"/>
      <c r="GSR93" s="704"/>
      <c r="GSS93" s="704"/>
      <c r="GST93" s="704"/>
      <c r="GSU93" s="704"/>
      <c r="GSV93" s="704"/>
      <c r="GSW93" s="704"/>
      <c r="GSX93" s="704"/>
      <c r="GSY93" s="704"/>
      <c r="GSZ93" s="704"/>
      <c r="GTA93" s="704"/>
      <c r="GTB93" s="704"/>
      <c r="GTC93" s="704"/>
      <c r="GTD93" s="704"/>
      <c r="GTE93" s="704"/>
      <c r="GTF93" s="704"/>
      <c r="GTG93" s="704"/>
      <c r="GTH93" s="704"/>
      <c r="GTI93" s="704"/>
      <c r="GTJ93" s="704"/>
      <c r="GTK93" s="704"/>
      <c r="GTL93" s="704"/>
      <c r="GTM93" s="704"/>
      <c r="GTN93" s="704"/>
      <c r="GTO93" s="704"/>
      <c r="GTP93" s="704"/>
      <c r="GTQ93" s="704"/>
      <c r="GTR93" s="704"/>
      <c r="GTS93" s="704"/>
      <c r="GTT93" s="704"/>
      <c r="GTU93" s="704"/>
      <c r="GTV93" s="704"/>
      <c r="GTW93" s="704"/>
      <c r="GTX93" s="704"/>
      <c r="GTY93" s="704"/>
      <c r="GTZ93" s="704"/>
      <c r="GUA93" s="704"/>
      <c r="GUB93" s="704"/>
      <c r="GUC93" s="704"/>
      <c r="GUD93" s="704"/>
      <c r="GUE93" s="704"/>
      <c r="GUF93" s="704"/>
      <c r="GUG93" s="704"/>
      <c r="GUH93" s="704"/>
      <c r="GUI93" s="704"/>
      <c r="GUJ93" s="704"/>
      <c r="GUK93" s="704"/>
      <c r="GUL93" s="704"/>
      <c r="GUM93" s="704"/>
      <c r="GUN93" s="704"/>
      <c r="GUO93" s="704"/>
      <c r="GUP93" s="704"/>
      <c r="GUQ93" s="704"/>
      <c r="GUR93" s="704"/>
      <c r="GUS93" s="704"/>
      <c r="GUT93" s="704"/>
      <c r="GUU93" s="704"/>
      <c r="GUV93" s="704"/>
      <c r="GUW93" s="704"/>
      <c r="GUX93" s="704"/>
      <c r="GUY93" s="704"/>
      <c r="GUZ93" s="704"/>
      <c r="GVA93" s="704"/>
      <c r="GVB93" s="704"/>
      <c r="GVC93" s="704"/>
      <c r="GVD93" s="704"/>
      <c r="GVE93" s="704"/>
      <c r="GVF93" s="704"/>
      <c r="GVG93" s="704"/>
      <c r="GVH93" s="704"/>
      <c r="GVI93" s="704"/>
      <c r="GVJ93" s="704"/>
      <c r="GVK93" s="704"/>
      <c r="GVL93" s="704"/>
      <c r="GVM93" s="704"/>
      <c r="GVN93" s="704"/>
      <c r="GVO93" s="704"/>
      <c r="GVP93" s="704"/>
      <c r="GVQ93" s="704"/>
      <c r="GVR93" s="704"/>
      <c r="GVS93" s="704"/>
      <c r="GVT93" s="704"/>
      <c r="GVU93" s="704"/>
      <c r="GVV93" s="704"/>
      <c r="GVW93" s="704"/>
      <c r="GVX93" s="704"/>
      <c r="GVY93" s="704"/>
      <c r="GVZ93" s="704"/>
      <c r="GWA93" s="704"/>
      <c r="GWB93" s="704"/>
      <c r="GWC93" s="704"/>
      <c r="GWD93" s="704"/>
      <c r="GWE93" s="704"/>
      <c r="GWF93" s="704"/>
      <c r="GWG93" s="704"/>
      <c r="GWH93" s="704"/>
      <c r="GWI93" s="704"/>
      <c r="GWJ93" s="704"/>
      <c r="GWK93" s="704"/>
      <c r="GWL93" s="704"/>
      <c r="GWM93" s="704"/>
      <c r="GWN93" s="704"/>
      <c r="GWO93" s="704"/>
      <c r="GWP93" s="704"/>
      <c r="GWQ93" s="704"/>
      <c r="GWR93" s="704"/>
      <c r="GWS93" s="704"/>
      <c r="GWT93" s="704"/>
      <c r="GWU93" s="704"/>
      <c r="GWV93" s="704"/>
      <c r="GWW93" s="704"/>
      <c r="GWX93" s="704"/>
      <c r="GWY93" s="704"/>
      <c r="GWZ93" s="704"/>
      <c r="GXA93" s="704"/>
      <c r="GXB93" s="704"/>
      <c r="GXC93" s="704"/>
      <c r="GXD93" s="704"/>
      <c r="GXE93" s="704"/>
      <c r="GXF93" s="704"/>
      <c r="GXG93" s="704"/>
      <c r="GXH93" s="704"/>
      <c r="GXI93" s="704"/>
      <c r="GXJ93" s="704"/>
      <c r="GXK93" s="704"/>
      <c r="GXL93" s="704"/>
      <c r="GXM93" s="704"/>
      <c r="GXN93" s="704"/>
      <c r="GXO93" s="704"/>
      <c r="GXP93" s="704"/>
      <c r="GXQ93" s="704"/>
      <c r="GXR93" s="704"/>
      <c r="GXS93" s="704"/>
      <c r="GXZ93" s="704"/>
      <c r="GYA93" s="704"/>
      <c r="GYB93" s="704"/>
      <c r="GYC93" s="704"/>
      <c r="GYD93" s="704"/>
      <c r="GYE93" s="704"/>
      <c r="GYF93" s="704"/>
      <c r="GYG93" s="704"/>
      <c r="GYH93" s="704"/>
      <c r="GYI93" s="704"/>
      <c r="GYJ93" s="704"/>
      <c r="GYK93" s="704"/>
      <c r="GYL93" s="704"/>
      <c r="GYM93" s="704"/>
      <c r="GYN93" s="704"/>
      <c r="GYO93" s="704"/>
      <c r="GYP93" s="704"/>
      <c r="GYQ93" s="704"/>
      <c r="GYR93" s="704"/>
      <c r="GYS93" s="704"/>
      <c r="GYT93" s="704"/>
      <c r="GYU93" s="704"/>
      <c r="GYV93" s="704"/>
      <c r="GYW93" s="704"/>
      <c r="GYX93" s="704"/>
      <c r="GYY93" s="704"/>
      <c r="GYZ93" s="704"/>
      <c r="GZA93" s="704"/>
      <c r="GZB93" s="704"/>
      <c r="GZC93" s="704"/>
      <c r="GZD93" s="704"/>
      <c r="GZE93" s="704"/>
      <c r="GZF93" s="704"/>
      <c r="GZG93" s="704"/>
      <c r="GZH93" s="704"/>
      <c r="GZI93" s="704"/>
      <c r="GZJ93" s="704"/>
      <c r="GZK93" s="704"/>
      <c r="GZL93" s="704"/>
      <c r="GZM93" s="704"/>
      <c r="GZN93" s="704"/>
      <c r="GZO93" s="704"/>
      <c r="GZP93" s="704"/>
      <c r="GZQ93" s="704"/>
      <c r="GZR93" s="704"/>
      <c r="GZS93" s="704"/>
      <c r="GZT93" s="704"/>
      <c r="GZU93" s="704"/>
      <c r="GZV93" s="704"/>
      <c r="GZW93" s="704"/>
      <c r="GZX93" s="704"/>
      <c r="GZY93" s="704"/>
      <c r="GZZ93" s="704"/>
      <c r="HAA93" s="704"/>
      <c r="HAB93" s="704"/>
      <c r="HAC93" s="704"/>
      <c r="HAD93" s="704"/>
      <c r="HAE93" s="704"/>
      <c r="HAF93" s="704"/>
      <c r="HAG93" s="704"/>
      <c r="HAH93" s="704"/>
      <c r="HAI93" s="704"/>
      <c r="HAJ93" s="704"/>
      <c r="HAK93" s="704"/>
      <c r="HAL93" s="704"/>
      <c r="HAM93" s="704"/>
      <c r="HAN93" s="704"/>
      <c r="HAO93" s="704"/>
      <c r="HAP93" s="704"/>
      <c r="HAQ93" s="704"/>
      <c r="HAR93" s="704"/>
      <c r="HAS93" s="704"/>
      <c r="HAT93" s="704"/>
      <c r="HAU93" s="704"/>
      <c r="HAV93" s="704"/>
      <c r="HAW93" s="704"/>
      <c r="HAX93" s="704"/>
      <c r="HAY93" s="704"/>
      <c r="HAZ93" s="704"/>
      <c r="HBA93" s="704"/>
      <c r="HBB93" s="704"/>
      <c r="HBC93" s="704"/>
      <c r="HBD93" s="704"/>
      <c r="HBE93" s="704"/>
      <c r="HBF93" s="704"/>
      <c r="HBG93" s="704"/>
      <c r="HBH93" s="704"/>
      <c r="HBI93" s="704"/>
      <c r="HBJ93" s="704"/>
      <c r="HBK93" s="704"/>
      <c r="HBL93" s="704"/>
      <c r="HBM93" s="704"/>
      <c r="HBN93" s="704"/>
      <c r="HBO93" s="704"/>
      <c r="HBP93" s="704"/>
      <c r="HBQ93" s="704"/>
      <c r="HBR93" s="704"/>
      <c r="HBS93" s="704"/>
      <c r="HBT93" s="704"/>
      <c r="HBU93" s="704"/>
      <c r="HBV93" s="704"/>
      <c r="HBW93" s="704"/>
      <c r="HBX93" s="704"/>
      <c r="HBY93" s="704"/>
      <c r="HBZ93" s="704"/>
      <c r="HCA93" s="704"/>
      <c r="HCB93" s="704"/>
      <c r="HCC93" s="704"/>
      <c r="HCD93" s="704"/>
      <c r="HCE93" s="704"/>
      <c r="HCF93" s="704"/>
      <c r="HCG93" s="704"/>
      <c r="HCH93" s="704"/>
      <c r="HCI93" s="704"/>
      <c r="HCJ93" s="704"/>
      <c r="HCK93" s="704"/>
      <c r="HCL93" s="704"/>
      <c r="HCM93" s="704"/>
      <c r="HCN93" s="704"/>
      <c r="HCO93" s="704"/>
      <c r="HCP93" s="704"/>
      <c r="HCQ93" s="704"/>
      <c r="HCR93" s="704"/>
      <c r="HCS93" s="704"/>
      <c r="HCT93" s="704"/>
      <c r="HCU93" s="704"/>
      <c r="HCV93" s="704"/>
      <c r="HCW93" s="704"/>
      <c r="HCX93" s="704"/>
      <c r="HCY93" s="704"/>
      <c r="HCZ93" s="704"/>
      <c r="HDA93" s="704"/>
      <c r="HDB93" s="704"/>
      <c r="HDC93" s="704"/>
      <c r="HDD93" s="704"/>
      <c r="HDE93" s="704"/>
      <c r="HDF93" s="704"/>
      <c r="HDG93" s="704"/>
      <c r="HDH93" s="704"/>
      <c r="HDI93" s="704"/>
      <c r="HDJ93" s="704"/>
      <c r="HDK93" s="704"/>
      <c r="HDL93" s="704"/>
      <c r="HDM93" s="704"/>
      <c r="HDN93" s="704"/>
      <c r="HDO93" s="704"/>
      <c r="HDP93" s="704"/>
      <c r="HDQ93" s="704"/>
      <c r="HDR93" s="704"/>
      <c r="HDS93" s="704"/>
      <c r="HDT93" s="704"/>
      <c r="HDU93" s="704"/>
      <c r="HDV93" s="704"/>
      <c r="HDW93" s="704"/>
      <c r="HDX93" s="704"/>
      <c r="HDY93" s="704"/>
      <c r="HDZ93" s="704"/>
      <c r="HEA93" s="704"/>
      <c r="HEB93" s="704"/>
      <c r="HEC93" s="704"/>
      <c r="HED93" s="704"/>
      <c r="HEE93" s="704"/>
      <c r="HEF93" s="704"/>
      <c r="HEG93" s="704"/>
      <c r="HEH93" s="704"/>
      <c r="HEI93" s="704"/>
      <c r="HEJ93" s="704"/>
      <c r="HEK93" s="704"/>
      <c r="HEL93" s="704"/>
      <c r="HEM93" s="704"/>
      <c r="HEN93" s="704"/>
      <c r="HEO93" s="704"/>
      <c r="HEP93" s="704"/>
      <c r="HEQ93" s="704"/>
      <c r="HER93" s="704"/>
      <c r="HES93" s="704"/>
      <c r="HET93" s="704"/>
      <c r="HEU93" s="704"/>
      <c r="HEV93" s="704"/>
      <c r="HEW93" s="704"/>
      <c r="HEX93" s="704"/>
      <c r="HEY93" s="704"/>
      <c r="HEZ93" s="704"/>
      <c r="HFA93" s="704"/>
      <c r="HFB93" s="704"/>
      <c r="HFC93" s="704"/>
      <c r="HFD93" s="704"/>
      <c r="HFE93" s="704"/>
      <c r="HFF93" s="704"/>
      <c r="HFG93" s="704"/>
      <c r="HFH93" s="704"/>
      <c r="HFI93" s="704"/>
      <c r="HFJ93" s="704"/>
      <c r="HFK93" s="704"/>
      <c r="HFL93" s="704"/>
      <c r="HFM93" s="704"/>
      <c r="HFN93" s="704"/>
      <c r="HFO93" s="704"/>
      <c r="HFP93" s="704"/>
      <c r="HFQ93" s="704"/>
      <c r="HFR93" s="704"/>
      <c r="HFS93" s="704"/>
      <c r="HFT93" s="704"/>
      <c r="HFU93" s="704"/>
      <c r="HFV93" s="704"/>
      <c r="HFW93" s="704"/>
      <c r="HFX93" s="704"/>
      <c r="HFY93" s="704"/>
      <c r="HFZ93" s="704"/>
      <c r="HGA93" s="704"/>
      <c r="HGB93" s="704"/>
      <c r="HGC93" s="704"/>
      <c r="HGD93" s="704"/>
      <c r="HGE93" s="704"/>
      <c r="HGF93" s="704"/>
      <c r="HGG93" s="704"/>
      <c r="HGH93" s="704"/>
      <c r="HGI93" s="704"/>
      <c r="HGJ93" s="704"/>
      <c r="HGK93" s="704"/>
      <c r="HGL93" s="704"/>
      <c r="HGM93" s="704"/>
      <c r="HGN93" s="704"/>
      <c r="HGO93" s="704"/>
      <c r="HGP93" s="704"/>
      <c r="HGQ93" s="704"/>
      <c r="HGR93" s="704"/>
      <c r="HGS93" s="704"/>
      <c r="HGT93" s="704"/>
      <c r="HGU93" s="704"/>
      <c r="HGV93" s="704"/>
      <c r="HGW93" s="704"/>
      <c r="HGX93" s="704"/>
      <c r="HGY93" s="704"/>
      <c r="HGZ93" s="704"/>
      <c r="HHA93" s="704"/>
      <c r="HHB93" s="704"/>
      <c r="HHC93" s="704"/>
      <c r="HHD93" s="704"/>
      <c r="HHE93" s="704"/>
      <c r="HHF93" s="704"/>
      <c r="HHG93" s="704"/>
      <c r="HHH93" s="704"/>
      <c r="HHI93" s="704"/>
      <c r="HHJ93" s="704"/>
      <c r="HHK93" s="704"/>
      <c r="HHL93" s="704"/>
      <c r="HHM93" s="704"/>
      <c r="HHN93" s="704"/>
      <c r="HHO93" s="704"/>
      <c r="HHV93" s="704"/>
      <c r="HHW93" s="704"/>
      <c r="HHX93" s="704"/>
      <c r="HHY93" s="704"/>
      <c r="HHZ93" s="704"/>
      <c r="HIA93" s="704"/>
      <c r="HIB93" s="704"/>
      <c r="HIC93" s="704"/>
      <c r="HID93" s="704"/>
      <c r="HIE93" s="704"/>
      <c r="HIF93" s="704"/>
      <c r="HIG93" s="704"/>
      <c r="HIH93" s="704"/>
      <c r="HII93" s="704"/>
      <c r="HIJ93" s="704"/>
      <c r="HIK93" s="704"/>
      <c r="HIL93" s="704"/>
      <c r="HIM93" s="704"/>
      <c r="HIN93" s="704"/>
      <c r="HIO93" s="704"/>
      <c r="HIP93" s="704"/>
      <c r="HIQ93" s="704"/>
      <c r="HIR93" s="704"/>
      <c r="HIS93" s="704"/>
      <c r="HIT93" s="704"/>
      <c r="HIU93" s="704"/>
      <c r="HIV93" s="704"/>
      <c r="HIW93" s="704"/>
      <c r="HIX93" s="704"/>
      <c r="HIY93" s="704"/>
      <c r="HIZ93" s="704"/>
      <c r="HJA93" s="704"/>
      <c r="HJB93" s="704"/>
      <c r="HJC93" s="704"/>
      <c r="HJD93" s="704"/>
      <c r="HJE93" s="704"/>
      <c r="HJF93" s="704"/>
      <c r="HJG93" s="704"/>
      <c r="HJH93" s="704"/>
      <c r="HJI93" s="704"/>
      <c r="HJJ93" s="704"/>
      <c r="HJK93" s="704"/>
      <c r="HJL93" s="704"/>
      <c r="HJM93" s="704"/>
      <c r="HJN93" s="704"/>
      <c r="HJO93" s="704"/>
      <c r="HJP93" s="704"/>
      <c r="HJQ93" s="704"/>
      <c r="HJR93" s="704"/>
      <c r="HJS93" s="704"/>
      <c r="HJT93" s="704"/>
      <c r="HJU93" s="704"/>
      <c r="HJV93" s="704"/>
      <c r="HJW93" s="704"/>
      <c r="HJX93" s="704"/>
      <c r="HJY93" s="704"/>
      <c r="HJZ93" s="704"/>
      <c r="HKA93" s="704"/>
      <c r="HKB93" s="704"/>
      <c r="HKC93" s="704"/>
      <c r="HKD93" s="704"/>
      <c r="HKE93" s="704"/>
      <c r="HKF93" s="704"/>
      <c r="HKG93" s="704"/>
      <c r="HKH93" s="704"/>
      <c r="HKI93" s="704"/>
      <c r="HKJ93" s="704"/>
      <c r="HKK93" s="704"/>
      <c r="HKL93" s="704"/>
      <c r="HKM93" s="704"/>
      <c r="HKN93" s="704"/>
      <c r="HKO93" s="704"/>
      <c r="HKP93" s="704"/>
      <c r="HKQ93" s="704"/>
      <c r="HKR93" s="704"/>
      <c r="HKS93" s="704"/>
      <c r="HKT93" s="704"/>
      <c r="HKU93" s="704"/>
      <c r="HKV93" s="704"/>
      <c r="HKW93" s="704"/>
      <c r="HKX93" s="704"/>
      <c r="HKY93" s="704"/>
      <c r="HKZ93" s="704"/>
      <c r="HLA93" s="704"/>
      <c r="HLB93" s="704"/>
      <c r="HLC93" s="704"/>
      <c r="HLD93" s="704"/>
      <c r="HLE93" s="704"/>
      <c r="HLF93" s="704"/>
      <c r="HLG93" s="704"/>
      <c r="HLH93" s="704"/>
      <c r="HLI93" s="704"/>
      <c r="HLJ93" s="704"/>
      <c r="HLK93" s="704"/>
      <c r="HLL93" s="704"/>
      <c r="HLM93" s="704"/>
      <c r="HLN93" s="704"/>
      <c r="HLO93" s="704"/>
      <c r="HLP93" s="704"/>
      <c r="HLQ93" s="704"/>
      <c r="HLR93" s="704"/>
      <c r="HLS93" s="704"/>
      <c r="HLT93" s="704"/>
      <c r="HLU93" s="704"/>
      <c r="HLV93" s="704"/>
      <c r="HLW93" s="704"/>
      <c r="HLX93" s="704"/>
      <c r="HLY93" s="704"/>
      <c r="HLZ93" s="704"/>
      <c r="HMA93" s="704"/>
      <c r="HMB93" s="704"/>
      <c r="HMC93" s="704"/>
      <c r="HMD93" s="704"/>
      <c r="HME93" s="704"/>
      <c r="HMF93" s="704"/>
      <c r="HMG93" s="704"/>
      <c r="HMH93" s="704"/>
      <c r="HMI93" s="704"/>
      <c r="HMJ93" s="704"/>
      <c r="HMK93" s="704"/>
      <c r="HML93" s="704"/>
      <c r="HMM93" s="704"/>
      <c r="HMN93" s="704"/>
      <c r="HMO93" s="704"/>
      <c r="HMP93" s="704"/>
      <c r="HMQ93" s="704"/>
      <c r="HMR93" s="704"/>
      <c r="HMS93" s="704"/>
      <c r="HMT93" s="704"/>
      <c r="HMU93" s="704"/>
      <c r="HMV93" s="704"/>
      <c r="HMW93" s="704"/>
      <c r="HMX93" s="704"/>
      <c r="HMY93" s="704"/>
      <c r="HMZ93" s="704"/>
      <c r="HNA93" s="704"/>
      <c r="HNB93" s="704"/>
      <c r="HNC93" s="704"/>
      <c r="HND93" s="704"/>
      <c r="HNE93" s="704"/>
      <c r="HNF93" s="704"/>
      <c r="HNG93" s="704"/>
      <c r="HNH93" s="704"/>
      <c r="HNI93" s="704"/>
      <c r="HNJ93" s="704"/>
      <c r="HNK93" s="704"/>
      <c r="HNL93" s="704"/>
      <c r="HNM93" s="704"/>
      <c r="HNN93" s="704"/>
      <c r="HNO93" s="704"/>
      <c r="HNP93" s="704"/>
      <c r="HNQ93" s="704"/>
      <c r="HNR93" s="704"/>
      <c r="HNS93" s="704"/>
      <c r="HNT93" s="704"/>
      <c r="HNU93" s="704"/>
      <c r="HNV93" s="704"/>
      <c r="HNW93" s="704"/>
      <c r="HNX93" s="704"/>
      <c r="HNY93" s="704"/>
      <c r="HNZ93" s="704"/>
      <c r="HOA93" s="704"/>
      <c r="HOB93" s="704"/>
      <c r="HOC93" s="704"/>
      <c r="HOD93" s="704"/>
      <c r="HOE93" s="704"/>
      <c r="HOF93" s="704"/>
      <c r="HOG93" s="704"/>
      <c r="HOH93" s="704"/>
      <c r="HOI93" s="704"/>
      <c r="HOJ93" s="704"/>
      <c r="HOK93" s="704"/>
      <c r="HOL93" s="704"/>
      <c r="HOM93" s="704"/>
      <c r="HON93" s="704"/>
      <c r="HOO93" s="704"/>
      <c r="HOP93" s="704"/>
      <c r="HOQ93" s="704"/>
      <c r="HOR93" s="704"/>
      <c r="HOS93" s="704"/>
      <c r="HOT93" s="704"/>
      <c r="HOU93" s="704"/>
      <c r="HOV93" s="704"/>
      <c r="HOW93" s="704"/>
      <c r="HOX93" s="704"/>
      <c r="HOY93" s="704"/>
      <c r="HOZ93" s="704"/>
      <c r="HPA93" s="704"/>
      <c r="HPB93" s="704"/>
      <c r="HPC93" s="704"/>
      <c r="HPD93" s="704"/>
      <c r="HPE93" s="704"/>
      <c r="HPF93" s="704"/>
      <c r="HPG93" s="704"/>
      <c r="HPH93" s="704"/>
      <c r="HPI93" s="704"/>
      <c r="HPJ93" s="704"/>
      <c r="HPK93" s="704"/>
      <c r="HPL93" s="704"/>
      <c r="HPM93" s="704"/>
      <c r="HPN93" s="704"/>
      <c r="HPO93" s="704"/>
      <c r="HPP93" s="704"/>
      <c r="HPQ93" s="704"/>
      <c r="HPR93" s="704"/>
      <c r="HPS93" s="704"/>
      <c r="HPT93" s="704"/>
      <c r="HPU93" s="704"/>
      <c r="HPV93" s="704"/>
      <c r="HPW93" s="704"/>
      <c r="HPX93" s="704"/>
      <c r="HPY93" s="704"/>
      <c r="HPZ93" s="704"/>
      <c r="HQA93" s="704"/>
      <c r="HQB93" s="704"/>
      <c r="HQC93" s="704"/>
      <c r="HQD93" s="704"/>
      <c r="HQE93" s="704"/>
      <c r="HQF93" s="704"/>
      <c r="HQG93" s="704"/>
      <c r="HQH93" s="704"/>
      <c r="HQI93" s="704"/>
      <c r="HQJ93" s="704"/>
      <c r="HQK93" s="704"/>
      <c r="HQL93" s="704"/>
      <c r="HQM93" s="704"/>
      <c r="HQN93" s="704"/>
      <c r="HQO93" s="704"/>
      <c r="HQP93" s="704"/>
      <c r="HQQ93" s="704"/>
      <c r="HQR93" s="704"/>
      <c r="HQS93" s="704"/>
      <c r="HQT93" s="704"/>
      <c r="HQU93" s="704"/>
      <c r="HQV93" s="704"/>
      <c r="HQW93" s="704"/>
      <c r="HQX93" s="704"/>
      <c r="HQY93" s="704"/>
      <c r="HQZ93" s="704"/>
      <c r="HRA93" s="704"/>
      <c r="HRB93" s="704"/>
      <c r="HRC93" s="704"/>
      <c r="HRD93" s="704"/>
      <c r="HRE93" s="704"/>
      <c r="HRF93" s="704"/>
      <c r="HRG93" s="704"/>
      <c r="HRH93" s="704"/>
      <c r="HRI93" s="704"/>
      <c r="HRJ93" s="704"/>
      <c r="HRK93" s="704"/>
      <c r="HRR93" s="704"/>
      <c r="HRS93" s="704"/>
      <c r="HRT93" s="704"/>
      <c r="HRU93" s="704"/>
      <c r="HRV93" s="704"/>
      <c r="HRW93" s="704"/>
      <c r="HRX93" s="704"/>
      <c r="HRY93" s="704"/>
      <c r="HRZ93" s="704"/>
      <c r="HSA93" s="704"/>
      <c r="HSB93" s="704"/>
      <c r="HSC93" s="704"/>
      <c r="HSD93" s="704"/>
      <c r="HSE93" s="704"/>
      <c r="HSF93" s="704"/>
      <c r="HSG93" s="704"/>
      <c r="HSH93" s="704"/>
      <c r="HSI93" s="704"/>
      <c r="HSJ93" s="704"/>
      <c r="HSK93" s="704"/>
      <c r="HSL93" s="704"/>
      <c r="HSM93" s="704"/>
      <c r="HSN93" s="704"/>
      <c r="HSO93" s="704"/>
      <c r="HSP93" s="704"/>
      <c r="HSQ93" s="704"/>
      <c r="HSR93" s="704"/>
      <c r="HSS93" s="704"/>
      <c r="HST93" s="704"/>
      <c r="HSU93" s="704"/>
      <c r="HSV93" s="704"/>
      <c r="HSW93" s="704"/>
      <c r="HSX93" s="704"/>
      <c r="HSY93" s="704"/>
      <c r="HSZ93" s="704"/>
      <c r="HTA93" s="704"/>
      <c r="HTB93" s="704"/>
      <c r="HTC93" s="704"/>
      <c r="HTD93" s="704"/>
      <c r="HTE93" s="704"/>
      <c r="HTF93" s="704"/>
      <c r="HTG93" s="704"/>
      <c r="HTH93" s="704"/>
      <c r="HTI93" s="704"/>
      <c r="HTJ93" s="704"/>
      <c r="HTK93" s="704"/>
      <c r="HTL93" s="704"/>
      <c r="HTM93" s="704"/>
      <c r="HTN93" s="704"/>
      <c r="HTO93" s="704"/>
      <c r="HTP93" s="704"/>
      <c r="HTQ93" s="704"/>
      <c r="HTR93" s="704"/>
      <c r="HTS93" s="704"/>
      <c r="HTT93" s="704"/>
      <c r="HTU93" s="704"/>
      <c r="HTV93" s="704"/>
      <c r="HTW93" s="704"/>
      <c r="HTX93" s="704"/>
      <c r="HTY93" s="704"/>
      <c r="HTZ93" s="704"/>
      <c r="HUA93" s="704"/>
      <c r="HUB93" s="704"/>
      <c r="HUC93" s="704"/>
      <c r="HUD93" s="704"/>
      <c r="HUE93" s="704"/>
      <c r="HUF93" s="704"/>
      <c r="HUG93" s="704"/>
      <c r="HUH93" s="704"/>
      <c r="HUI93" s="704"/>
      <c r="HUJ93" s="704"/>
      <c r="HUK93" s="704"/>
      <c r="HUL93" s="704"/>
      <c r="HUM93" s="704"/>
      <c r="HUN93" s="704"/>
      <c r="HUO93" s="704"/>
      <c r="HUP93" s="704"/>
      <c r="HUQ93" s="704"/>
      <c r="HUR93" s="704"/>
      <c r="HUS93" s="704"/>
      <c r="HUT93" s="704"/>
      <c r="HUU93" s="704"/>
      <c r="HUV93" s="704"/>
      <c r="HUW93" s="704"/>
      <c r="HUX93" s="704"/>
      <c r="HUY93" s="704"/>
      <c r="HUZ93" s="704"/>
      <c r="HVA93" s="704"/>
      <c r="HVB93" s="704"/>
      <c r="HVC93" s="704"/>
      <c r="HVD93" s="704"/>
      <c r="HVE93" s="704"/>
      <c r="HVF93" s="704"/>
      <c r="HVG93" s="704"/>
      <c r="HVH93" s="704"/>
      <c r="HVI93" s="704"/>
      <c r="HVJ93" s="704"/>
      <c r="HVK93" s="704"/>
      <c r="HVL93" s="704"/>
      <c r="HVM93" s="704"/>
      <c r="HVN93" s="704"/>
      <c r="HVO93" s="704"/>
      <c r="HVP93" s="704"/>
      <c r="HVQ93" s="704"/>
      <c r="HVR93" s="704"/>
      <c r="HVS93" s="704"/>
      <c r="HVT93" s="704"/>
      <c r="HVU93" s="704"/>
      <c r="HVV93" s="704"/>
      <c r="HVW93" s="704"/>
      <c r="HVX93" s="704"/>
      <c r="HVY93" s="704"/>
      <c r="HVZ93" s="704"/>
      <c r="HWA93" s="704"/>
      <c r="HWB93" s="704"/>
      <c r="HWC93" s="704"/>
      <c r="HWD93" s="704"/>
      <c r="HWE93" s="704"/>
      <c r="HWF93" s="704"/>
      <c r="HWG93" s="704"/>
      <c r="HWH93" s="704"/>
      <c r="HWI93" s="704"/>
      <c r="HWJ93" s="704"/>
      <c r="HWK93" s="704"/>
      <c r="HWL93" s="704"/>
      <c r="HWM93" s="704"/>
      <c r="HWN93" s="704"/>
      <c r="HWO93" s="704"/>
      <c r="HWP93" s="704"/>
      <c r="HWQ93" s="704"/>
      <c r="HWR93" s="704"/>
      <c r="HWS93" s="704"/>
      <c r="HWT93" s="704"/>
      <c r="HWU93" s="704"/>
      <c r="HWV93" s="704"/>
      <c r="HWW93" s="704"/>
      <c r="HWX93" s="704"/>
      <c r="HWY93" s="704"/>
      <c r="HWZ93" s="704"/>
      <c r="HXA93" s="704"/>
      <c r="HXB93" s="704"/>
      <c r="HXC93" s="704"/>
      <c r="HXD93" s="704"/>
      <c r="HXE93" s="704"/>
      <c r="HXF93" s="704"/>
      <c r="HXG93" s="704"/>
      <c r="HXH93" s="704"/>
      <c r="HXI93" s="704"/>
      <c r="HXJ93" s="704"/>
      <c r="HXK93" s="704"/>
      <c r="HXL93" s="704"/>
      <c r="HXM93" s="704"/>
      <c r="HXN93" s="704"/>
      <c r="HXO93" s="704"/>
      <c r="HXP93" s="704"/>
      <c r="HXQ93" s="704"/>
      <c r="HXR93" s="704"/>
      <c r="HXS93" s="704"/>
      <c r="HXT93" s="704"/>
      <c r="HXU93" s="704"/>
      <c r="HXV93" s="704"/>
      <c r="HXW93" s="704"/>
      <c r="HXX93" s="704"/>
      <c r="HXY93" s="704"/>
      <c r="HXZ93" s="704"/>
      <c r="HYA93" s="704"/>
      <c r="HYB93" s="704"/>
      <c r="HYC93" s="704"/>
      <c r="HYD93" s="704"/>
      <c r="HYE93" s="704"/>
      <c r="HYF93" s="704"/>
      <c r="HYG93" s="704"/>
      <c r="HYH93" s="704"/>
      <c r="HYI93" s="704"/>
      <c r="HYJ93" s="704"/>
      <c r="HYK93" s="704"/>
      <c r="HYL93" s="704"/>
      <c r="HYM93" s="704"/>
      <c r="HYN93" s="704"/>
      <c r="HYO93" s="704"/>
      <c r="HYP93" s="704"/>
      <c r="HYQ93" s="704"/>
      <c r="HYR93" s="704"/>
      <c r="HYS93" s="704"/>
      <c r="HYT93" s="704"/>
      <c r="HYU93" s="704"/>
      <c r="HYV93" s="704"/>
      <c r="HYW93" s="704"/>
      <c r="HYX93" s="704"/>
      <c r="HYY93" s="704"/>
      <c r="HYZ93" s="704"/>
      <c r="HZA93" s="704"/>
      <c r="HZB93" s="704"/>
      <c r="HZC93" s="704"/>
      <c r="HZD93" s="704"/>
      <c r="HZE93" s="704"/>
      <c r="HZF93" s="704"/>
      <c r="HZG93" s="704"/>
      <c r="HZH93" s="704"/>
      <c r="HZI93" s="704"/>
      <c r="HZJ93" s="704"/>
      <c r="HZK93" s="704"/>
      <c r="HZL93" s="704"/>
      <c r="HZM93" s="704"/>
      <c r="HZN93" s="704"/>
      <c r="HZO93" s="704"/>
      <c r="HZP93" s="704"/>
      <c r="HZQ93" s="704"/>
      <c r="HZR93" s="704"/>
      <c r="HZS93" s="704"/>
      <c r="HZT93" s="704"/>
      <c r="HZU93" s="704"/>
      <c r="HZV93" s="704"/>
      <c r="HZW93" s="704"/>
      <c r="HZX93" s="704"/>
      <c r="HZY93" s="704"/>
      <c r="HZZ93" s="704"/>
      <c r="IAA93" s="704"/>
      <c r="IAB93" s="704"/>
      <c r="IAC93" s="704"/>
      <c r="IAD93" s="704"/>
      <c r="IAE93" s="704"/>
      <c r="IAF93" s="704"/>
      <c r="IAG93" s="704"/>
      <c r="IAH93" s="704"/>
      <c r="IAI93" s="704"/>
      <c r="IAJ93" s="704"/>
      <c r="IAK93" s="704"/>
      <c r="IAL93" s="704"/>
      <c r="IAM93" s="704"/>
      <c r="IAN93" s="704"/>
      <c r="IAO93" s="704"/>
      <c r="IAP93" s="704"/>
      <c r="IAQ93" s="704"/>
      <c r="IAR93" s="704"/>
      <c r="IAS93" s="704"/>
      <c r="IAT93" s="704"/>
      <c r="IAU93" s="704"/>
      <c r="IAV93" s="704"/>
      <c r="IAW93" s="704"/>
      <c r="IAX93" s="704"/>
      <c r="IAY93" s="704"/>
      <c r="IAZ93" s="704"/>
      <c r="IBA93" s="704"/>
      <c r="IBB93" s="704"/>
      <c r="IBC93" s="704"/>
      <c r="IBD93" s="704"/>
      <c r="IBE93" s="704"/>
      <c r="IBF93" s="704"/>
      <c r="IBG93" s="704"/>
      <c r="IBN93" s="704"/>
      <c r="IBO93" s="704"/>
      <c r="IBP93" s="704"/>
      <c r="IBQ93" s="704"/>
      <c r="IBR93" s="704"/>
      <c r="IBS93" s="704"/>
      <c r="IBT93" s="704"/>
      <c r="IBU93" s="704"/>
      <c r="IBV93" s="704"/>
      <c r="IBW93" s="704"/>
      <c r="IBX93" s="704"/>
      <c r="IBY93" s="704"/>
      <c r="IBZ93" s="704"/>
      <c r="ICA93" s="704"/>
      <c r="ICB93" s="704"/>
      <c r="ICC93" s="704"/>
      <c r="ICD93" s="704"/>
      <c r="ICE93" s="704"/>
      <c r="ICF93" s="704"/>
      <c r="ICG93" s="704"/>
      <c r="ICH93" s="704"/>
      <c r="ICI93" s="704"/>
      <c r="ICJ93" s="704"/>
      <c r="ICK93" s="704"/>
      <c r="ICL93" s="704"/>
      <c r="ICM93" s="704"/>
      <c r="ICN93" s="704"/>
      <c r="ICO93" s="704"/>
      <c r="ICP93" s="704"/>
      <c r="ICQ93" s="704"/>
      <c r="ICR93" s="704"/>
      <c r="ICS93" s="704"/>
      <c r="ICT93" s="704"/>
      <c r="ICU93" s="704"/>
      <c r="ICV93" s="704"/>
      <c r="ICW93" s="704"/>
      <c r="ICX93" s="704"/>
      <c r="ICY93" s="704"/>
      <c r="ICZ93" s="704"/>
      <c r="IDA93" s="704"/>
      <c r="IDB93" s="704"/>
      <c r="IDC93" s="704"/>
      <c r="IDD93" s="704"/>
      <c r="IDE93" s="704"/>
      <c r="IDF93" s="704"/>
      <c r="IDG93" s="704"/>
      <c r="IDH93" s="704"/>
      <c r="IDI93" s="704"/>
      <c r="IDJ93" s="704"/>
      <c r="IDK93" s="704"/>
      <c r="IDL93" s="704"/>
      <c r="IDM93" s="704"/>
      <c r="IDN93" s="704"/>
      <c r="IDO93" s="704"/>
      <c r="IDP93" s="704"/>
      <c r="IDQ93" s="704"/>
      <c r="IDR93" s="704"/>
      <c r="IDS93" s="704"/>
      <c r="IDT93" s="704"/>
      <c r="IDU93" s="704"/>
      <c r="IDV93" s="704"/>
      <c r="IDW93" s="704"/>
      <c r="IDX93" s="704"/>
      <c r="IDY93" s="704"/>
      <c r="IDZ93" s="704"/>
      <c r="IEA93" s="704"/>
      <c r="IEB93" s="704"/>
      <c r="IEC93" s="704"/>
      <c r="IED93" s="704"/>
      <c r="IEE93" s="704"/>
      <c r="IEF93" s="704"/>
      <c r="IEG93" s="704"/>
      <c r="IEH93" s="704"/>
      <c r="IEI93" s="704"/>
      <c r="IEJ93" s="704"/>
      <c r="IEK93" s="704"/>
      <c r="IEL93" s="704"/>
      <c r="IEM93" s="704"/>
      <c r="IEN93" s="704"/>
      <c r="IEO93" s="704"/>
      <c r="IEP93" s="704"/>
      <c r="IEQ93" s="704"/>
      <c r="IER93" s="704"/>
      <c r="IES93" s="704"/>
      <c r="IET93" s="704"/>
      <c r="IEU93" s="704"/>
      <c r="IEV93" s="704"/>
      <c r="IEW93" s="704"/>
      <c r="IEX93" s="704"/>
      <c r="IEY93" s="704"/>
      <c r="IEZ93" s="704"/>
      <c r="IFA93" s="704"/>
      <c r="IFB93" s="704"/>
      <c r="IFC93" s="704"/>
      <c r="IFD93" s="704"/>
      <c r="IFE93" s="704"/>
      <c r="IFF93" s="704"/>
      <c r="IFG93" s="704"/>
      <c r="IFH93" s="704"/>
      <c r="IFI93" s="704"/>
      <c r="IFJ93" s="704"/>
      <c r="IFK93" s="704"/>
      <c r="IFL93" s="704"/>
      <c r="IFM93" s="704"/>
      <c r="IFN93" s="704"/>
      <c r="IFO93" s="704"/>
      <c r="IFP93" s="704"/>
      <c r="IFQ93" s="704"/>
      <c r="IFR93" s="704"/>
      <c r="IFS93" s="704"/>
      <c r="IFT93" s="704"/>
      <c r="IFU93" s="704"/>
      <c r="IFV93" s="704"/>
      <c r="IFW93" s="704"/>
      <c r="IFX93" s="704"/>
      <c r="IFY93" s="704"/>
      <c r="IFZ93" s="704"/>
      <c r="IGA93" s="704"/>
      <c r="IGB93" s="704"/>
      <c r="IGC93" s="704"/>
      <c r="IGD93" s="704"/>
      <c r="IGE93" s="704"/>
      <c r="IGF93" s="704"/>
      <c r="IGG93" s="704"/>
      <c r="IGH93" s="704"/>
      <c r="IGI93" s="704"/>
      <c r="IGJ93" s="704"/>
      <c r="IGK93" s="704"/>
      <c r="IGL93" s="704"/>
      <c r="IGM93" s="704"/>
      <c r="IGN93" s="704"/>
      <c r="IGO93" s="704"/>
      <c r="IGP93" s="704"/>
      <c r="IGQ93" s="704"/>
      <c r="IGR93" s="704"/>
      <c r="IGS93" s="704"/>
      <c r="IGT93" s="704"/>
      <c r="IGU93" s="704"/>
      <c r="IGV93" s="704"/>
      <c r="IGW93" s="704"/>
      <c r="IGX93" s="704"/>
      <c r="IGY93" s="704"/>
      <c r="IGZ93" s="704"/>
      <c r="IHA93" s="704"/>
      <c r="IHB93" s="704"/>
      <c r="IHC93" s="704"/>
      <c r="IHD93" s="704"/>
      <c r="IHE93" s="704"/>
      <c r="IHF93" s="704"/>
      <c r="IHG93" s="704"/>
      <c r="IHH93" s="704"/>
      <c r="IHI93" s="704"/>
      <c r="IHJ93" s="704"/>
      <c r="IHK93" s="704"/>
      <c r="IHL93" s="704"/>
      <c r="IHM93" s="704"/>
      <c r="IHN93" s="704"/>
      <c r="IHO93" s="704"/>
      <c r="IHP93" s="704"/>
      <c r="IHQ93" s="704"/>
      <c r="IHR93" s="704"/>
      <c r="IHS93" s="704"/>
      <c r="IHT93" s="704"/>
      <c r="IHU93" s="704"/>
      <c r="IHV93" s="704"/>
      <c r="IHW93" s="704"/>
      <c r="IHX93" s="704"/>
      <c r="IHY93" s="704"/>
      <c r="IHZ93" s="704"/>
      <c r="IIA93" s="704"/>
      <c r="IIB93" s="704"/>
      <c r="IIC93" s="704"/>
      <c r="IID93" s="704"/>
      <c r="IIE93" s="704"/>
      <c r="IIF93" s="704"/>
      <c r="IIG93" s="704"/>
      <c r="IIH93" s="704"/>
      <c r="III93" s="704"/>
      <c r="IIJ93" s="704"/>
      <c r="IIK93" s="704"/>
      <c r="IIL93" s="704"/>
      <c r="IIM93" s="704"/>
      <c r="IIN93" s="704"/>
      <c r="IIO93" s="704"/>
      <c r="IIP93" s="704"/>
      <c r="IIQ93" s="704"/>
      <c r="IIR93" s="704"/>
      <c r="IIS93" s="704"/>
      <c r="IIT93" s="704"/>
      <c r="IIU93" s="704"/>
      <c r="IIV93" s="704"/>
      <c r="IIW93" s="704"/>
      <c r="IIX93" s="704"/>
      <c r="IIY93" s="704"/>
      <c r="IIZ93" s="704"/>
      <c r="IJA93" s="704"/>
      <c r="IJB93" s="704"/>
      <c r="IJC93" s="704"/>
      <c r="IJD93" s="704"/>
      <c r="IJE93" s="704"/>
      <c r="IJF93" s="704"/>
      <c r="IJG93" s="704"/>
      <c r="IJH93" s="704"/>
      <c r="IJI93" s="704"/>
      <c r="IJJ93" s="704"/>
      <c r="IJK93" s="704"/>
      <c r="IJL93" s="704"/>
      <c r="IJM93" s="704"/>
      <c r="IJN93" s="704"/>
      <c r="IJO93" s="704"/>
      <c r="IJP93" s="704"/>
      <c r="IJQ93" s="704"/>
      <c r="IJR93" s="704"/>
      <c r="IJS93" s="704"/>
      <c r="IJT93" s="704"/>
      <c r="IJU93" s="704"/>
      <c r="IJV93" s="704"/>
      <c r="IJW93" s="704"/>
      <c r="IJX93" s="704"/>
      <c r="IJY93" s="704"/>
      <c r="IJZ93" s="704"/>
      <c r="IKA93" s="704"/>
      <c r="IKB93" s="704"/>
      <c r="IKC93" s="704"/>
      <c r="IKD93" s="704"/>
      <c r="IKE93" s="704"/>
      <c r="IKF93" s="704"/>
      <c r="IKG93" s="704"/>
      <c r="IKH93" s="704"/>
      <c r="IKI93" s="704"/>
      <c r="IKJ93" s="704"/>
      <c r="IKK93" s="704"/>
      <c r="IKL93" s="704"/>
      <c r="IKM93" s="704"/>
      <c r="IKN93" s="704"/>
      <c r="IKO93" s="704"/>
      <c r="IKP93" s="704"/>
      <c r="IKQ93" s="704"/>
      <c r="IKR93" s="704"/>
      <c r="IKS93" s="704"/>
      <c r="IKT93" s="704"/>
      <c r="IKU93" s="704"/>
      <c r="IKV93" s="704"/>
      <c r="IKW93" s="704"/>
      <c r="IKX93" s="704"/>
      <c r="IKY93" s="704"/>
      <c r="IKZ93" s="704"/>
      <c r="ILA93" s="704"/>
      <c r="ILB93" s="704"/>
      <c r="ILC93" s="704"/>
      <c r="ILJ93" s="704"/>
      <c r="ILK93" s="704"/>
      <c r="ILL93" s="704"/>
      <c r="ILM93" s="704"/>
      <c r="ILN93" s="704"/>
      <c r="ILO93" s="704"/>
      <c r="ILP93" s="704"/>
      <c r="ILQ93" s="704"/>
      <c r="ILR93" s="704"/>
      <c r="ILS93" s="704"/>
      <c r="ILT93" s="704"/>
      <c r="ILU93" s="704"/>
      <c r="ILV93" s="704"/>
      <c r="ILW93" s="704"/>
      <c r="ILX93" s="704"/>
      <c r="ILY93" s="704"/>
      <c r="ILZ93" s="704"/>
      <c r="IMA93" s="704"/>
      <c r="IMB93" s="704"/>
      <c r="IMC93" s="704"/>
      <c r="IMD93" s="704"/>
      <c r="IME93" s="704"/>
      <c r="IMF93" s="704"/>
      <c r="IMG93" s="704"/>
      <c r="IMH93" s="704"/>
      <c r="IMI93" s="704"/>
      <c r="IMJ93" s="704"/>
      <c r="IMK93" s="704"/>
      <c r="IML93" s="704"/>
      <c r="IMM93" s="704"/>
      <c r="IMN93" s="704"/>
      <c r="IMO93" s="704"/>
      <c r="IMP93" s="704"/>
      <c r="IMQ93" s="704"/>
      <c r="IMR93" s="704"/>
      <c r="IMS93" s="704"/>
      <c r="IMT93" s="704"/>
      <c r="IMU93" s="704"/>
      <c r="IMV93" s="704"/>
      <c r="IMW93" s="704"/>
      <c r="IMX93" s="704"/>
      <c r="IMY93" s="704"/>
      <c r="IMZ93" s="704"/>
      <c r="INA93" s="704"/>
      <c r="INB93" s="704"/>
      <c r="INC93" s="704"/>
      <c r="IND93" s="704"/>
      <c r="INE93" s="704"/>
      <c r="INF93" s="704"/>
      <c r="ING93" s="704"/>
      <c r="INH93" s="704"/>
      <c r="INI93" s="704"/>
      <c r="INJ93" s="704"/>
      <c r="INK93" s="704"/>
      <c r="INL93" s="704"/>
      <c r="INM93" s="704"/>
      <c r="INN93" s="704"/>
      <c r="INO93" s="704"/>
      <c r="INP93" s="704"/>
      <c r="INQ93" s="704"/>
      <c r="INR93" s="704"/>
      <c r="INS93" s="704"/>
      <c r="INT93" s="704"/>
      <c r="INU93" s="704"/>
      <c r="INV93" s="704"/>
      <c r="INW93" s="704"/>
      <c r="INX93" s="704"/>
      <c r="INY93" s="704"/>
      <c r="INZ93" s="704"/>
      <c r="IOA93" s="704"/>
      <c r="IOB93" s="704"/>
      <c r="IOC93" s="704"/>
      <c r="IOD93" s="704"/>
      <c r="IOE93" s="704"/>
      <c r="IOF93" s="704"/>
      <c r="IOG93" s="704"/>
      <c r="IOH93" s="704"/>
      <c r="IOI93" s="704"/>
      <c r="IOJ93" s="704"/>
      <c r="IOK93" s="704"/>
      <c r="IOL93" s="704"/>
      <c r="IOM93" s="704"/>
      <c r="ION93" s="704"/>
      <c r="IOO93" s="704"/>
      <c r="IOP93" s="704"/>
      <c r="IOQ93" s="704"/>
      <c r="IOR93" s="704"/>
      <c r="IOS93" s="704"/>
      <c r="IOT93" s="704"/>
      <c r="IOU93" s="704"/>
      <c r="IOV93" s="704"/>
      <c r="IOW93" s="704"/>
      <c r="IOX93" s="704"/>
      <c r="IOY93" s="704"/>
      <c r="IOZ93" s="704"/>
      <c r="IPA93" s="704"/>
      <c r="IPB93" s="704"/>
      <c r="IPC93" s="704"/>
      <c r="IPD93" s="704"/>
      <c r="IPE93" s="704"/>
      <c r="IPF93" s="704"/>
      <c r="IPG93" s="704"/>
      <c r="IPH93" s="704"/>
      <c r="IPI93" s="704"/>
      <c r="IPJ93" s="704"/>
      <c r="IPK93" s="704"/>
      <c r="IPL93" s="704"/>
      <c r="IPM93" s="704"/>
      <c r="IPN93" s="704"/>
      <c r="IPO93" s="704"/>
      <c r="IPP93" s="704"/>
      <c r="IPQ93" s="704"/>
      <c r="IPR93" s="704"/>
      <c r="IPS93" s="704"/>
      <c r="IPT93" s="704"/>
      <c r="IPU93" s="704"/>
      <c r="IPV93" s="704"/>
      <c r="IPW93" s="704"/>
      <c r="IPX93" s="704"/>
      <c r="IPY93" s="704"/>
      <c r="IPZ93" s="704"/>
      <c r="IQA93" s="704"/>
      <c r="IQB93" s="704"/>
      <c r="IQC93" s="704"/>
      <c r="IQD93" s="704"/>
      <c r="IQE93" s="704"/>
      <c r="IQF93" s="704"/>
      <c r="IQG93" s="704"/>
      <c r="IQH93" s="704"/>
      <c r="IQI93" s="704"/>
      <c r="IQJ93" s="704"/>
      <c r="IQK93" s="704"/>
      <c r="IQL93" s="704"/>
      <c r="IQM93" s="704"/>
      <c r="IQN93" s="704"/>
      <c r="IQO93" s="704"/>
      <c r="IQP93" s="704"/>
      <c r="IQQ93" s="704"/>
      <c r="IQR93" s="704"/>
      <c r="IQS93" s="704"/>
      <c r="IQT93" s="704"/>
      <c r="IQU93" s="704"/>
      <c r="IQV93" s="704"/>
      <c r="IQW93" s="704"/>
      <c r="IQX93" s="704"/>
      <c r="IQY93" s="704"/>
      <c r="IQZ93" s="704"/>
      <c r="IRA93" s="704"/>
      <c r="IRB93" s="704"/>
      <c r="IRC93" s="704"/>
      <c r="IRD93" s="704"/>
      <c r="IRE93" s="704"/>
      <c r="IRF93" s="704"/>
      <c r="IRG93" s="704"/>
      <c r="IRH93" s="704"/>
      <c r="IRI93" s="704"/>
      <c r="IRJ93" s="704"/>
      <c r="IRK93" s="704"/>
      <c r="IRL93" s="704"/>
      <c r="IRM93" s="704"/>
      <c r="IRN93" s="704"/>
      <c r="IRO93" s="704"/>
      <c r="IRP93" s="704"/>
      <c r="IRQ93" s="704"/>
      <c r="IRR93" s="704"/>
      <c r="IRS93" s="704"/>
      <c r="IRT93" s="704"/>
      <c r="IRU93" s="704"/>
      <c r="IRV93" s="704"/>
      <c r="IRW93" s="704"/>
      <c r="IRX93" s="704"/>
      <c r="IRY93" s="704"/>
      <c r="IRZ93" s="704"/>
      <c r="ISA93" s="704"/>
      <c r="ISB93" s="704"/>
      <c r="ISC93" s="704"/>
      <c r="ISD93" s="704"/>
      <c r="ISE93" s="704"/>
      <c r="ISF93" s="704"/>
      <c r="ISG93" s="704"/>
      <c r="ISH93" s="704"/>
      <c r="ISI93" s="704"/>
      <c r="ISJ93" s="704"/>
      <c r="ISK93" s="704"/>
      <c r="ISL93" s="704"/>
      <c r="ISM93" s="704"/>
      <c r="ISN93" s="704"/>
      <c r="ISO93" s="704"/>
      <c r="ISP93" s="704"/>
      <c r="ISQ93" s="704"/>
      <c r="ISR93" s="704"/>
      <c r="ISS93" s="704"/>
      <c r="IST93" s="704"/>
      <c r="ISU93" s="704"/>
      <c r="ISV93" s="704"/>
      <c r="ISW93" s="704"/>
      <c r="ISX93" s="704"/>
      <c r="ISY93" s="704"/>
      <c r="ISZ93" s="704"/>
      <c r="ITA93" s="704"/>
      <c r="ITB93" s="704"/>
      <c r="ITC93" s="704"/>
      <c r="ITD93" s="704"/>
      <c r="ITE93" s="704"/>
      <c r="ITF93" s="704"/>
      <c r="ITG93" s="704"/>
      <c r="ITH93" s="704"/>
      <c r="ITI93" s="704"/>
      <c r="ITJ93" s="704"/>
      <c r="ITK93" s="704"/>
      <c r="ITL93" s="704"/>
      <c r="ITM93" s="704"/>
      <c r="ITN93" s="704"/>
      <c r="ITO93" s="704"/>
      <c r="ITP93" s="704"/>
      <c r="ITQ93" s="704"/>
      <c r="ITR93" s="704"/>
      <c r="ITS93" s="704"/>
      <c r="ITT93" s="704"/>
      <c r="ITU93" s="704"/>
      <c r="ITV93" s="704"/>
      <c r="ITW93" s="704"/>
      <c r="ITX93" s="704"/>
      <c r="ITY93" s="704"/>
      <c r="ITZ93" s="704"/>
      <c r="IUA93" s="704"/>
      <c r="IUB93" s="704"/>
      <c r="IUC93" s="704"/>
      <c r="IUD93" s="704"/>
      <c r="IUE93" s="704"/>
      <c r="IUF93" s="704"/>
      <c r="IUG93" s="704"/>
      <c r="IUH93" s="704"/>
      <c r="IUI93" s="704"/>
      <c r="IUJ93" s="704"/>
      <c r="IUK93" s="704"/>
      <c r="IUL93" s="704"/>
      <c r="IUM93" s="704"/>
      <c r="IUN93" s="704"/>
      <c r="IUO93" s="704"/>
      <c r="IUP93" s="704"/>
      <c r="IUQ93" s="704"/>
      <c r="IUR93" s="704"/>
      <c r="IUS93" s="704"/>
      <c r="IUT93" s="704"/>
      <c r="IUU93" s="704"/>
      <c r="IUV93" s="704"/>
      <c r="IUW93" s="704"/>
      <c r="IUX93" s="704"/>
      <c r="IUY93" s="704"/>
      <c r="IVF93" s="704"/>
      <c r="IVG93" s="704"/>
      <c r="IVH93" s="704"/>
      <c r="IVI93" s="704"/>
      <c r="IVJ93" s="704"/>
      <c r="IVK93" s="704"/>
      <c r="IVL93" s="704"/>
      <c r="IVM93" s="704"/>
      <c r="IVN93" s="704"/>
      <c r="IVO93" s="704"/>
      <c r="IVP93" s="704"/>
      <c r="IVQ93" s="704"/>
      <c r="IVR93" s="704"/>
      <c r="IVS93" s="704"/>
      <c r="IVT93" s="704"/>
      <c r="IVU93" s="704"/>
      <c r="IVV93" s="704"/>
      <c r="IVW93" s="704"/>
      <c r="IVX93" s="704"/>
      <c r="IVY93" s="704"/>
      <c r="IVZ93" s="704"/>
      <c r="IWA93" s="704"/>
      <c r="IWB93" s="704"/>
      <c r="IWC93" s="704"/>
      <c r="IWD93" s="704"/>
      <c r="IWE93" s="704"/>
      <c r="IWF93" s="704"/>
      <c r="IWG93" s="704"/>
      <c r="IWH93" s="704"/>
      <c r="IWI93" s="704"/>
      <c r="IWJ93" s="704"/>
      <c r="IWK93" s="704"/>
      <c r="IWL93" s="704"/>
      <c r="IWM93" s="704"/>
      <c r="IWN93" s="704"/>
      <c r="IWO93" s="704"/>
      <c r="IWP93" s="704"/>
      <c r="IWQ93" s="704"/>
      <c r="IWR93" s="704"/>
      <c r="IWS93" s="704"/>
      <c r="IWT93" s="704"/>
      <c r="IWU93" s="704"/>
      <c r="IWV93" s="704"/>
      <c r="IWW93" s="704"/>
      <c r="IWX93" s="704"/>
      <c r="IWY93" s="704"/>
      <c r="IWZ93" s="704"/>
      <c r="IXA93" s="704"/>
      <c r="IXB93" s="704"/>
      <c r="IXC93" s="704"/>
      <c r="IXD93" s="704"/>
      <c r="IXE93" s="704"/>
      <c r="IXF93" s="704"/>
      <c r="IXG93" s="704"/>
      <c r="IXH93" s="704"/>
      <c r="IXI93" s="704"/>
      <c r="IXJ93" s="704"/>
      <c r="IXK93" s="704"/>
      <c r="IXL93" s="704"/>
      <c r="IXM93" s="704"/>
      <c r="IXN93" s="704"/>
      <c r="IXO93" s="704"/>
      <c r="IXP93" s="704"/>
      <c r="IXQ93" s="704"/>
      <c r="IXR93" s="704"/>
      <c r="IXS93" s="704"/>
      <c r="IXT93" s="704"/>
      <c r="IXU93" s="704"/>
      <c r="IXV93" s="704"/>
      <c r="IXW93" s="704"/>
      <c r="IXX93" s="704"/>
      <c r="IXY93" s="704"/>
      <c r="IXZ93" s="704"/>
      <c r="IYA93" s="704"/>
      <c r="IYB93" s="704"/>
      <c r="IYC93" s="704"/>
      <c r="IYD93" s="704"/>
      <c r="IYE93" s="704"/>
      <c r="IYF93" s="704"/>
      <c r="IYG93" s="704"/>
      <c r="IYH93" s="704"/>
      <c r="IYI93" s="704"/>
      <c r="IYJ93" s="704"/>
      <c r="IYK93" s="704"/>
      <c r="IYL93" s="704"/>
      <c r="IYM93" s="704"/>
      <c r="IYN93" s="704"/>
      <c r="IYO93" s="704"/>
      <c r="IYP93" s="704"/>
      <c r="IYQ93" s="704"/>
      <c r="IYR93" s="704"/>
      <c r="IYS93" s="704"/>
      <c r="IYT93" s="704"/>
      <c r="IYU93" s="704"/>
      <c r="IYV93" s="704"/>
      <c r="IYW93" s="704"/>
      <c r="IYX93" s="704"/>
      <c r="IYY93" s="704"/>
      <c r="IYZ93" s="704"/>
      <c r="IZA93" s="704"/>
      <c r="IZB93" s="704"/>
      <c r="IZC93" s="704"/>
      <c r="IZD93" s="704"/>
      <c r="IZE93" s="704"/>
      <c r="IZF93" s="704"/>
      <c r="IZG93" s="704"/>
      <c r="IZH93" s="704"/>
      <c r="IZI93" s="704"/>
      <c r="IZJ93" s="704"/>
      <c r="IZK93" s="704"/>
      <c r="IZL93" s="704"/>
      <c r="IZM93" s="704"/>
      <c r="IZN93" s="704"/>
      <c r="IZO93" s="704"/>
      <c r="IZP93" s="704"/>
      <c r="IZQ93" s="704"/>
      <c r="IZR93" s="704"/>
      <c r="IZS93" s="704"/>
      <c r="IZT93" s="704"/>
      <c r="IZU93" s="704"/>
      <c r="IZV93" s="704"/>
      <c r="IZW93" s="704"/>
      <c r="IZX93" s="704"/>
      <c r="IZY93" s="704"/>
      <c r="IZZ93" s="704"/>
      <c r="JAA93" s="704"/>
      <c r="JAB93" s="704"/>
      <c r="JAC93" s="704"/>
      <c r="JAD93" s="704"/>
      <c r="JAE93" s="704"/>
      <c r="JAF93" s="704"/>
      <c r="JAG93" s="704"/>
      <c r="JAH93" s="704"/>
      <c r="JAI93" s="704"/>
      <c r="JAJ93" s="704"/>
      <c r="JAK93" s="704"/>
      <c r="JAL93" s="704"/>
      <c r="JAM93" s="704"/>
      <c r="JAN93" s="704"/>
      <c r="JAO93" s="704"/>
      <c r="JAP93" s="704"/>
      <c r="JAQ93" s="704"/>
      <c r="JAR93" s="704"/>
      <c r="JAS93" s="704"/>
      <c r="JAT93" s="704"/>
      <c r="JAU93" s="704"/>
      <c r="JAV93" s="704"/>
      <c r="JAW93" s="704"/>
      <c r="JAX93" s="704"/>
      <c r="JAY93" s="704"/>
      <c r="JAZ93" s="704"/>
      <c r="JBA93" s="704"/>
      <c r="JBB93" s="704"/>
      <c r="JBC93" s="704"/>
      <c r="JBD93" s="704"/>
      <c r="JBE93" s="704"/>
      <c r="JBF93" s="704"/>
      <c r="JBG93" s="704"/>
      <c r="JBH93" s="704"/>
      <c r="JBI93" s="704"/>
      <c r="JBJ93" s="704"/>
      <c r="JBK93" s="704"/>
      <c r="JBL93" s="704"/>
      <c r="JBM93" s="704"/>
      <c r="JBN93" s="704"/>
      <c r="JBO93" s="704"/>
      <c r="JBP93" s="704"/>
      <c r="JBQ93" s="704"/>
      <c r="JBR93" s="704"/>
      <c r="JBS93" s="704"/>
      <c r="JBT93" s="704"/>
      <c r="JBU93" s="704"/>
      <c r="JBV93" s="704"/>
      <c r="JBW93" s="704"/>
      <c r="JBX93" s="704"/>
      <c r="JBY93" s="704"/>
      <c r="JBZ93" s="704"/>
      <c r="JCA93" s="704"/>
      <c r="JCB93" s="704"/>
      <c r="JCC93" s="704"/>
      <c r="JCD93" s="704"/>
      <c r="JCE93" s="704"/>
      <c r="JCF93" s="704"/>
      <c r="JCG93" s="704"/>
      <c r="JCH93" s="704"/>
      <c r="JCI93" s="704"/>
      <c r="JCJ93" s="704"/>
      <c r="JCK93" s="704"/>
      <c r="JCL93" s="704"/>
      <c r="JCM93" s="704"/>
      <c r="JCN93" s="704"/>
      <c r="JCO93" s="704"/>
      <c r="JCP93" s="704"/>
      <c r="JCQ93" s="704"/>
      <c r="JCR93" s="704"/>
      <c r="JCS93" s="704"/>
      <c r="JCT93" s="704"/>
      <c r="JCU93" s="704"/>
      <c r="JCV93" s="704"/>
      <c r="JCW93" s="704"/>
      <c r="JCX93" s="704"/>
      <c r="JCY93" s="704"/>
      <c r="JCZ93" s="704"/>
      <c r="JDA93" s="704"/>
      <c r="JDB93" s="704"/>
      <c r="JDC93" s="704"/>
      <c r="JDD93" s="704"/>
      <c r="JDE93" s="704"/>
      <c r="JDF93" s="704"/>
      <c r="JDG93" s="704"/>
      <c r="JDH93" s="704"/>
      <c r="JDI93" s="704"/>
      <c r="JDJ93" s="704"/>
      <c r="JDK93" s="704"/>
      <c r="JDL93" s="704"/>
      <c r="JDM93" s="704"/>
      <c r="JDN93" s="704"/>
      <c r="JDO93" s="704"/>
      <c r="JDP93" s="704"/>
      <c r="JDQ93" s="704"/>
      <c r="JDR93" s="704"/>
      <c r="JDS93" s="704"/>
      <c r="JDT93" s="704"/>
      <c r="JDU93" s="704"/>
      <c r="JDV93" s="704"/>
      <c r="JDW93" s="704"/>
      <c r="JDX93" s="704"/>
      <c r="JDY93" s="704"/>
      <c r="JDZ93" s="704"/>
      <c r="JEA93" s="704"/>
      <c r="JEB93" s="704"/>
      <c r="JEC93" s="704"/>
      <c r="JED93" s="704"/>
      <c r="JEE93" s="704"/>
      <c r="JEF93" s="704"/>
      <c r="JEG93" s="704"/>
      <c r="JEH93" s="704"/>
      <c r="JEI93" s="704"/>
      <c r="JEJ93" s="704"/>
      <c r="JEK93" s="704"/>
      <c r="JEL93" s="704"/>
      <c r="JEM93" s="704"/>
      <c r="JEN93" s="704"/>
      <c r="JEO93" s="704"/>
      <c r="JEP93" s="704"/>
      <c r="JEQ93" s="704"/>
      <c r="JER93" s="704"/>
      <c r="JES93" s="704"/>
      <c r="JET93" s="704"/>
      <c r="JEU93" s="704"/>
      <c r="JFB93" s="704"/>
      <c r="JFC93" s="704"/>
      <c r="JFD93" s="704"/>
      <c r="JFE93" s="704"/>
      <c r="JFF93" s="704"/>
      <c r="JFG93" s="704"/>
      <c r="JFH93" s="704"/>
      <c r="JFI93" s="704"/>
      <c r="JFJ93" s="704"/>
      <c r="JFK93" s="704"/>
      <c r="JFL93" s="704"/>
      <c r="JFM93" s="704"/>
      <c r="JFN93" s="704"/>
      <c r="JFO93" s="704"/>
      <c r="JFP93" s="704"/>
      <c r="JFQ93" s="704"/>
      <c r="JFR93" s="704"/>
      <c r="JFS93" s="704"/>
      <c r="JFT93" s="704"/>
      <c r="JFU93" s="704"/>
      <c r="JFV93" s="704"/>
      <c r="JFW93" s="704"/>
      <c r="JFX93" s="704"/>
      <c r="JFY93" s="704"/>
      <c r="JFZ93" s="704"/>
      <c r="JGA93" s="704"/>
      <c r="JGB93" s="704"/>
      <c r="JGC93" s="704"/>
      <c r="JGD93" s="704"/>
      <c r="JGE93" s="704"/>
      <c r="JGF93" s="704"/>
      <c r="JGG93" s="704"/>
      <c r="JGH93" s="704"/>
      <c r="JGI93" s="704"/>
      <c r="JGJ93" s="704"/>
      <c r="JGK93" s="704"/>
      <c r="JGL93" s="704"/>
      <c r="JGM93" s="704"/>
      <c r="JGN93" s="704"/>
      <c r="JGO93" s="704"/>
      <c r="JGP93" s="704"/>
      <c r="JGQ93" s="704"/>
      <c r="JGR93" s="704"/>
      <c r="JGS93" s="704"/>
      <c r="JGT93" s="704"/>
      <c r="JGU93" s="704"/>
      <c r="JGV93" s="704"/>
      <c r="JGW93" s="704"/>
      <c r="JGX93" s="704"/>
      <c r="JGY93" s="704"/>
      <c r="JGZ93" s="704"/>
      <c r="JHA93" s="704"/>
      <c r="JHB93" s="704"/>
      <c r="JHC93" s="704"/>
      <c r="JHD93" s="704"/>
      <c r="JHE93" s="704"/>
      <c r="JHF93" s="704"/>
      <c r="JHG93" s="704"/>
      <c r="JHH93" s="704"/>
      <c r="JHI93" s="704"/>
      <c r="JHJ93" s="704"/>
      <c r="JHK93" s="704"/>
      <c r="JHL93" s="704"/>
      <c r="JHM93" s="704"/>
      <c r="JHN93" s="704"/>
      <c r="JHO93" s="704"/>
      <c r="JHP93" s="704"/>
      <c r="JHQ93" s="704"/>
      <c r="JHR93" s="704"/>
      <c r="JHS93" s="704"/>
      <c r="JHT93" s="704"/>
      <c r="JHU93" s="704"/>
      <c r="JHV93" s="704"/>
      <c r="JHW93" s="704"/>
      <c r="JHX93" s="704"/>
      <c r="JHY93" s="704"/>
      <c r="JHZ93" s="704"/>
      <c r="JIA93" s="704"/>
      <c r="JIB93" s="704"/>
      <c r="JIC93" s="704"/>
      <c r="JID93" s="704"/>
      <c r="JIE93" s="704"/>
      <c r="JIF93" s="704"/>
      <c r="JIG93" s="704"/>
      <c r="JIH93" s="704"/>
      <c r="JII93" s="704"/>
      <c r="JIJ93" s="704"/>
      <c r="JIK93" s="704"/>
      <c r="JIL93" s="704"/>
      <c r="JIM93" s="704"/>
      <c r="JIN93" s="704"/>
      <c r="JIO93" s="704"/>
      <c r="JIP93" s="704"/>
      <c r="JIQ93" s="704"/>
      <c r="JIR93" s="704"/>
      <c r="JIS93" s="704"/>
      <c r="JIT93" s="704"/>
      <c r="JIU93" s="704"/>
      <c r="JIV93" s="704"/>
      <c r="JIW93" s="704"/>
      <c r="JIX93" s="704"/>
      <c r="JIY93" s="704"/>
      <c r="JIZ93" s="704"/>
      <c r="JJA93" s="704"/>
      <c r="JJB93" s="704"/>
      <c r="JJC93" s="704"/>
      <c r="JJD93" s="704"/>
      <c r="JJE93" s="704"/>
      <c r="JJF93" s="704"/>
      <c r="JJG93" s="704"/>
      <c r="JJH93" s="704"/>
      <c r="JJI93" s="704"/>
      <c r="JJJ93" s="704"/>
      <c r="JJK93" s="704"/>
      <c r="JJL93" s="704"/>
      <c r="JJM93" s="704"/>
      <c r="JJN93" s="704"/>
      <c r="JJO93" s="704"/>
      <c r="JJP93" s="704"/>
      <c r="JJQ93" s="704"/>
      <c r="JJR93" s="704"/>
      <c r="JJS93" s="704"/>
      <c r="JJT93" s="704"/>
      <c r="JJU93" s="704"/>
      <c r="JJV93" s="704"/>
      <c r="JJW93" s="704"/>
      <c r="JJX93" s="704"/>
      <c r="JJY93" s="704"/>
      <c r="JJZ93" s="704"/>
      <c r="JKA93" s="704"/>
      <c r="JKB93" s="704"/>
      <c r="JKC93" s="704"/>
      <c r="JKD93" s="704"/>
      <c r="JKE93" s="704"/>
      <c r="JKF93" s="704"/>
      <c r="JKG93" s="704"/>
      <c r="JKH93" s="704"/>
      <c r="JKI93" s="704"/>
      <c r="JKJ93" s="704"/>
      <c r="JKK93" s="704"/>
      <c r="JKL93" s="704"/>
      <c r="JKM93" s="704"/>
      <c r="JKN93" s="704"/>
      <c r="JKO93" s="704"/>
      <c r="JKP93" s="704"/>
      <c r="JKQ93" s="704"/>
      <c r="JKR93" s="704"/>
      <c r="JKS93" s="704"/>
      <c r="JKT93" s="704"/>
      <c r="JKU93" s="704"/>
      <c r="JKV93" s="704"/>
      <c r="JKW93" s="704"/>
      <c r="JKX93" s="704"/>
      <c r="JKY93" s="704"/>
      <c r="JKZ93" s="704"/>
      <c r="JLA93" s="704"/>
      <c r="JLB93" s="704"/>
      <c r="JLC93" s="704"/>
      <c r="JLD93" s="704"/>
      <c r="JLE93" s="704"/>
      <c r="JLF93" s="704"/>
      <c r="JLG93" s="704"/>
      <c r="JLH93" s="704"/>
      <c r="JLI93" s="704"/>
      <c r="JLJ93" s="704"/>
      <c r="JLK93" s="704"/>
      <c r="JLL93" s="704"/>
      <c r="JLM93" s="704"/>
      <c r="JLN93" s="704"/>
      <c r="JLO93" s="704"/>
      <c r="JLP93" s="704"/>
      <c r="JLQ93" s="704"/>
      <c r="JLR93" s="704"/>
      <c r="JLS93" s="704"/>
      <c r="JLT93" s="704"/>
      <c r="JLU93" s="704"/>
      <c r="JLV93" s="704"/>
      <c r="JLW93" s="704"/>
      <c r="JLX93" s="704"/>
      <c r="JLY93" s="704"/>
      <c r="JLZ93" s="704"/>
      <c r="JMA93" s="704"/>
      <c r="JMB93" s="704"/>
      <c r="JMC93" s="704"/>
      <c r="JMD93" s="704"/>
      <c r="JME93" s="704"/>
      <c r="JMF93" s="704"/>
      <c r="JMG93" s="704"/>
      <c r="JMH93" s="704"/>
      <c r="JMI93" s="704"/>
      <c r="JMJ93" s="704"/>
      <c r="JMK93" s="704"/>
      <c r="JML93" s="704"/>
      <c r="JMM93" s="704"/>
      <c r="JMN93" s="704"/>
      <c r="JMO93" s="704"/>
      <c r="JMP93" s="704"/>
      <c r="JMQ93" s="704"/>
      <c r="JMR93" s="704"/>
      <c r="JMS93" s="704"/>
      <c r="JMT93" s="704"/>
      <c r="JMU93" s="704"/>
      <c r="JMV93" s="704"/>
      <c r="JMW93" s="704"/>
      <c r="JMX93" s="704"/>
      <c r="JMY93" s="704"/>
      <c r="JMZ93" s="704"/>
      <c r="JNA93" s="704"/>
      <c r="JNB93" s="704"/>
      <c r="JNC93" s="704"/>
      <c r="JND93" s="704"/>
      <c r="JNE93" s="704"/>
      <c r="JNF93" s="704"/>
      <c r="JNG93" s="704"/>
      <c r="JNH93" s="704"/>
      <c r="JNI93" s="704"/>
      <c r="JNJ93" s="704"/>
      <c r="JNK93" s="704"/>
      <c r="JNL93" s="704"/>
      <c r="JNM93" s="704"/>
      <c r="JNN93" s="704"/>
      <c r="JNO93" s="704"/>
      <c r="JNP93" s="704"/>
      <c r="JNQ93" s="704"/>
      <c r="JNR93" s="704"/>
      <c r="JNS93" s="704"/>
      <c r="JNT93" s="704"/>
      <c r="JNU93" s="704"/>
      <c r="JNV93" s="704"/>
      <c r="JNW93" s="704"/>
      <c r="JNX93" s="704"/>
      <c r="JNY93" s="704"/>
      <c r="JNZ93" s="704"/>
      <c r="JOA93" s="704"/>
      <c r="JOB93" s="704"/>
      <c r="JOC93" s="704"/>
      <c r="JOD93" s="704"/>
      <c r="JOE93" s="704"/>
      <c r="JOF93" s="704"/>
      <c r="JOG93" s="704"/>
      <c r="JOH93" s="704"/>
      <c r="JOI93" s="704"/>
      <c r="JOJ93" s="704"/>
      <c r="JOK93" s="704"/>
      <c r="JOL93" s="704"/>
      <c r="JOM93" s="704"/>
      <c r="JON93" s="704"/>
      <c r="JOO93" s="704"/>
      <c r="JOP93" s="704"/>
      <c r="JOQ93" s="704"/>
      <c r="JOX93" s="704"/>
      <c r="JOY93" s="704"/>
      <c r="JOZ93" s="704"/>
      <c r="JPA93" s="704"/>
      <c r="JPB93" s="704"/>
      <c r="JPC93" s="704"/>
      <c r="JPD93" s="704"/>
      <c r="JPE93" s="704"/>
      <c r="JPF93" s="704"/>
      <c r="JPG93" s="704"/>
      <c r="JPH93" s="704"/>
      <c r="JPI93" s="704"/>
      <c r="JPJ93" s="704"/>
      <c r="JPK93" s="704"/>
      <c r="JPL93" s="704"/>
      <c r="JPM93" s="704"/>
      <c r="JPN93" s="704"/>
      <c r="JPO93" s="704"/>
      <c r="JPP93" s="704"/>
      <c r="JPQ93" s="704"/>
      <c r="JPR93" s="704"/>
      <c r="JPS93" s="704"/>
      <c r="JPT93" s="704"/>
      <c r="JPU93" s="704"/>
      <c r="JPV93" s="704"/>
      <c r="JPW93" s="704"/>
      <c r="JPX93" s="704"/>
      <c r="JPY93" s="704"/>
      <c r="JPZ93" s="704"/>
      <c r="JQA93" s="704"/>
      <c r="JQB93" s="704"/>
      <c r="JQC93" s="704"/>
      <c r="JQD93" s="704"/>
      <c r="JQE93" s="704"/>
      <c r="JQF93" s="704"/>
      <c r="JQG93" s="704"/>
      <c r="JQH93" s="704"/>
      <c r="JQI93" s="704"/>
      <c r="JQJ93" s="704"/>
      <c r="JQK93" s="704"/>
      <c r="JQL93" s="704"/>
      <c r="JQM93" s="704"/>
      <c r="JQN93" s="704"/>
      <c r="JQO93" s="704"/>
      <c r="JQP93" s="704"/>
      <c r="JQQ93" s="704"/>
      <c r="JQR93" s="704"/>
      <c r="JQS93" s="704"/>
      <c r="JQT93" s="704"/>
      <c r="JQU93" s="704"/>
      <c r="JQV93" s="704"/>
      <c r="JQW93" s="704"/>
      <c r="JQX93" s="704"/>
      <c r="JQY93" s="704"/>
      <c r="JQZ93" s="704"/>
      <c r="JRA93" s="704"/>
      <c r="JRB93" s="704"/>
      <c r="JRC93" s="704"/>
      <c r="JRD93" s="704"/>
      <c r="JRE93" s="704"/>
      <c r="JRF93" s="704"/>
      <c r="JRG93" s="704"/>
      <c r="JRH93" s="704"/>
      <c r="JRI93" s="704"/>
      <c r="JRJ93" s="704"/>
      <c r="JRK93" s="704"/>
      <c r="JRL93" s="704"/>
      <c r="JRM93" s="704"/>
      <c r="JRN93" s="704"/>
      <c r="JRO93" s="704"/>
      <c r="JRP93" s="704"/>
      <c r="JRQ93" s="704"/>
      <c r="JRR93" s="704"/>
      <c r="JRS93" s="704"/>
      <c r="JRT93" s="704"/>
      <c r="JRU93" s="704"/>
      <c r="JRV93" s="704"/>
      <c r="JRW93" s="704"/>
      <c r="JRX93" s="704"/>
      <c r="JRY93" s="704"/>
      <c r="JRZ93" s="704"/>
      <c r="JSA93" s="704"/>
      <c r="JSB93" s="704"/>
      <c r="JSC93" s="704"/>
      <c r="JSD93" s="704"/>
      <c r="JSE93" s="704"/>
      <c r="JSF93" s="704"/>
      <c r="JSG93" s="704"/>
      <c r="JSH93" s="704"/>
      <c r="JSI93" s="704"/>
      <c r="JSJ93" s="704"/>
      <c r="JSK93" s="704"/>
      <c r="JSL93" s="704"/>
      <c r="JSM93" s="704"/>
      <c r="JSN93" s="704"/>
      <c r="JSO93" s="704"/>
      <c r="JSP93" s="704"/>
      <c r="JSQ93" s="704"/>
      <c r="JSR93" s="704"/>
      <c r="JSS93" s="704"/>
      <c r="JST93" s="704"/>
      <c r="JSU93" s="704"/>
      <c r="JSV93" s="704"/>
      <c r="JSW93" s="704"/>
      <c r="JSX93" s="704"/>
      <c r="JSY93" s="704"/>
      <c r="JSZ93" s="704"/>
      <c r="JTA93" s="704"/>
      <c r="JTB93" s="704"/>
      <c r="JTC93" s="704"/>
      <c r="JTD93" s="704"/>
      <c r="JTE93" s="704"/>
      <c r="JTF93" s="704"/>
      <c r="JTG93" s="704"/>
      <c r="JTH93" s="704"/>
      <c r="JTI93" s="704"/>
      <c r="JTJ93" s="704"/>
      <c r="JTK93" s="704"/>
      <c r="JTL93" s="704"/>
      <c r="JTM93" s="704"/>
      <c r="JTN93" s="704"/>
      <c r="JTO93" s="704"/>
      <c r="JTP93" s="704"/>
      <c r="JTQ93" s="704"/>
      <c r="JTR93" s="704"/>
      <c r="JTS93" s="704"/>
      <c r="JTT93" s="704"/>
      <c r="JTU93" s="704"/>
      <c r="JTV93" s="704"/>
      <c r="JTW93" s="704"/>
      <c r="JTX93" s="704"/>
      <c r="JTY93" s="704"/>
      <c r="JTZ93" s="704"/>
      <c r="JUA93" s="704"/>
      <c r="JUB93" s="704"/>
      <c r="JUC93" s="704"/>
      <c r="JUD93" s="704"/>
      <c r="JUE93" s="704"/>
      <c r="JUF93" s="704"/>
      <c r="JUG93" s="704"/>
      <c r="JUH93" s="704"/>
      <c r="JUI93" s="704"/>
      <c r="JUJ93" s="704"/>
      <c r="JUK93" s="704"/>
      <c r="JUL93" s="704"/>
      <c r="JUM93" s="704"/>
      <c r="JUN93" s="704"/>
      <c r="JUO93" s="704"/>
      <c r="JUP93" s="704"/>
      <c r="JUQ93" s="704"/>
      <c r="JUR93" s="704"/>
      <c r="JUS93" s="704"/>
      <c r="JUT93" s="704"/>
      <c r="JUU93" s="704"/>
      <c r="JUV93" s="704"/>
      <c r="JUW93" s="704"/>
      <c r="JUX93" s="704"/>
      <c r="JUY93" s="704"/>
      <c r="JUZ93" s="704"/>
      <c r="JVA93" s="704"/>
      <c r="JVB93" s="704"/>
      <c r="JVC93" s="704"/>
      <c r="JVD93" s="704"/>
      <c r="JVE93" s="704"/>
      <c r="JVF93" s="704"/>
      <c r="JVG93" s="704"/>
      <c r="JVH93" s="704"/>
      <c r="JVI93" s="704"/>
      <c r="JVJ93" s="704"/>
      <c r="JVK93" s="704"/>
      <c r="JVL93" s="704"/>
      <c r="JVM93" s="704"/>
      <c r="JVN93" s="704"/>
      <c r="JVO93" s="704"/>
      <c r="JVP93" s="704"/>
      <c r="JVQ93" s="704"/>
      <c r="JVR93" s="704"/>
      <c r="JVS93" s="704"/>
      <c r="JVT93" s="704"/>
      <c r="JVU93" s="704"/>
      <c r="JVV93" s="704"/>
      <c r="JVW93" s="704"/>
      <c r="JVX93" s="704"/>
      <c r="JVY93" s="704"/>
      <c r="JVZ93" s="704"/>
      <c r="JWA93" s="704"/>
      <c r="JWB93" s="704"/>
      <c r="JWC93" s="704"/>
      <c r="JWD93" s="704"/>
      <c r="JWE93" s="704"/>
      <c r="JWF93" s="704"/>
      <c r="JWG93" s="704"/>
      <c r="JWH93" s="704"/>
      <c r="JWI93" s="704"/>
      <c r="JWJ93" s="704"/>
      <c r="JWK93" s="704"/>
      <c r="JWL93" s="704"/>
      <c r="JWM93" s="704"/>
      <c r="JWN93" s="704"/>
      <c r="JWO93" s="704"/>
      <c r="JWP93" s="704"/>
      <c r="JWQ93" s="704"/>
      <c r="JWR93" s="704"/>
      <c r="JWS93" s="704"/>
      <c r="JWT93" s="704"/>
      <c r="JWU93" s="704"/>
      <c r="JWV93" s="704"/>
      <c r="JWW93" s="704"/>
      <c r="JWX93" s="704"/>
      <c r="JWY93" s="704"/>
      <c r="JWZ93" s="704"/>
      <c r="JXA93" s="704"/>
      <c r="JXB93" s="704"/>
      <c r="JXC93" s="704"/>
      <c r="JXD93" s="704"/>
      <c r="JXE93" s="704"/>
      <c r="JXF93" s="704"/>
      <c r="JXG93" s="704"/>
      <c r="JXH93" s="704"/>
      <c r="JXI93" s="704"/>
      <c r="JXJ93" s="704"/>
      <c r="JXK93" s="704"/>
      <c r="JXL93" s="704"/>
      <c r="JXM93" s="704"/>
      <c r="JXN93" s="704"/>
      <c r="JXO93" s="704"/>
      <c r="JXP93" s="704"/>
      <c r="JXQ93" s="704"/>
      <c r="JXR93" s="704"/>
      <c r="JXS93" s="704"/>
      <c r="JXT93" s="704"/>
      <c r="JXU93" s="704"/>
      <c r="JXV93" s="704"/>
      <c r="JXW93" s="704"/>
      <c r="JXX93" s="704"/>
      <c r="JXY93" s="704"/>
      <c r="JXZ93" s="704"/>
      <c r="JYA93" s="704"/>
      <c r="JYB93" s="704"/>
      <c r="JYC93" s="704"/>
      <c r="JYD93" s="704"/>
      <c r="JYE93" s="704"/>
      <c r="JYF93" s="704"/>
      <c r="JYG93" s="704"/>
      <c r="JYH93" s="704"/>
      <c r="JYI93" s="704"/>
      <c r="JYJ93" s="704"/>
      <c r="JYK93" s="704"/>
      <c r="JYL93" s="704"/>
      <c r="JYM93" s="704"/>
      <c r="JYT93" s="704"/>
      <c r="JYU93" s="704"/>
      <c r="JYV93" s="704"/>
      <c r="JYW93" s="704"/>
      <c r="JYX93" s="704"/>
      <c r="JYY93" s="704"/>
      <c r="JYZ93" s="704"/>
      <c r="JZA93" s="704"/>
      <c r="JZB93" s="704"/>
      <c r="JZC93" s="704"/>
      <c r="JZD93" s="704"/>
      <c r="JZE93" s="704"/>
      <c r="JZF93" s="704"/>
      <c r="JZG93" s="704"/>
      <c r="JZH93" s="704"/>
      <c r="JZI93" s="704"/>
      <c r="JZJ93" s="704"/>
      <c r="JZK93" s="704"/>
      <c r="JZL93" s="704"/>
      <c r="JZM93" s="704"/>
      <c r="JZN93" s="704"/>
      <c r="JZO93" s="704"/>
      <c r="JZP93" s="704"/>
      <c r="JZQ93" s="704"/>
      <c r="JZR93" s="704"/>
      <c r="JZS93" s="704"/>
      <c r="JZT93" s="704"/>
      <c r="JZU93" s="704"/>
      <c r="JZV93" s="704"/>
      <c r="JZW93" s="704"/>
      <c r="JZX93" s="704"/>
      <c r="JZY93" s="704"/>
      <c r="JZZ93" s="704"/>
      <c r="KAA93" s="704"/>
      <c r="KAB93" s="704"/>
      <c r="KAC93" s="704"/>
      <c r="KAD93" s="704"/>
      <c r="KAE93" s="704"/>
      <c r="KAF93" s="704"/>
      <c r="KAG93" s="704"/>
      <c r="KAH93" s="704"/>
      <c r="KAI93" s="704"/>
      <c r="KAJ93" s="704"/>
      <c r="KAK93" s="704"/>
      <c r="KAL93" s="704"/>
      <c r="KAM93" s="704"/>
      <c r="KAN93" s="704"/>
      <c r="KAO93" s="704"/>
      <c r="KAP93" s="704"/>
      <c r="KAQ93" s="704"/>
      <c r="KAR93" s="704"/>
      <c r="KAS93" s="704"/>
      <c r="KAT93" s="704"/>
      <c r="KAU93" s="704"/>
      <c r="KAV93" s="704"/>
      <c r="KAW93" s="704"/>
      <c r="KAX93" s="704"/>
      <c r="KAY93" s="704"/>
      <c r="KAZ93" s="704"/>
      <c r="KBA93" s="704"/>
      <c r="KBB93" s="704"/>
      <c r="KBC93" s="704"/>
      <c r="KBD93" s="704"/>
      <c r="KBE93" s="704"/>
      <c r="KBF93" s="704"/>
      <c r="KBG93" s="704"/>
      <c r="KBH93" s="704"/>
      <c r="KBI93" s="704"/>
      <c r="KBJ93" s="704"/>
      <c r="KBK93" s="704"/>
      <c r="KBL93" s="704"/>
      <c r="KBM93" s="704"/>
      <c r="KBN93" s="704"/>
      <c r="KBO93" s="704"/>
      <c r="KBP93" s="704"/>
      <c r="KBQ93" s="704"/>
      <c r="KBR93" s="704"/>
      <c r="KBS93" s="704"/>
      <c r="KBT93" s="704"/>
      <c r="KBU93" s="704"/>
      <c r="KBV93" s="704"/>
      <c r="KBW93" s="704"/>
      <c r="KBX93" s="704"/>
      <c r="KBY93" s="704"/>
      <c r="KBZ93" s="704"/>
      <c r="KCA93" s="704"/>
      <c r="KCB93" s="704"/>
      <c r="KCC93" s="704"/>
      <c r="KCD93" s="704"/>
      <c r="KCE93" s="704"/>
      <c r="KCF93" s="704"/>
      <c r="KCG93" s="704"/>
      <c r="KCH93" s="704"/>
      <c r="KCI93" s="704"/>
      <c r="KCJ93" s="704"/>
      <c r="KCK93" s="704"/>
      <c r="KCL93" s="704"/>
      <c r="KCM93" s="704"/>
      <c r="KCN93" s="704"/>
      <c r="KCO93" s="704"/>
      <c r="KCP93" s="704"/>
      <c r="KCQ93" s="704"/>
      <c r="KCR93" s="704"/>
      <c r="KCS93" s="704"/>
      <c r="KCT93" s="704"/>
      <c r="KCU93" s="704"/>
      <c r="KCV93" s="704"/>
      <c r="KCW93" s="704"/>
      <c r="KCX93" s="704"/>
      <c r="KCY93" s="704"/>
      <c r="KCZ93" s="704"/>
      <c r="KDA93" s="704"/>
      <c r="KDB93" s="704"/>
      <c r="KDC93" s="704"/>
      <c r="KDD93" s="704"/>
      <c r="KDE93" s="704"/>
      <c r="KDF93" s="704"/>
      <c r="KDG93" s="704"/>
      <c r="KDH93" s="704"/>
      <c r="KDI93" s="704"/>
      <c r="KDJ93" s="704"/>
      <c r="KDK93" s="704"/>
      <c r="KDL93" s="704"/>
      <c r="KDM93" s="704"/>
      <c r="KDN93" s="704"/>
      <c r="KDO93" s="704"/>
      <c r="KDP93" s="704"/>
      <c r="KDQ93" s="704"/>
      <c r="KDR93" s="704"/>
      <c r="KDS93" s="704"/>
      <c r="KDT93" s="704"/>
      <c r="KDU93" s="704"/>
      <c r="KDV93" s="704"/>
      <c r="KDW93" s="704"/>
      <c r="KDX93" s="704"/>
      <c r="KDY93" s="704"/>
      <c r="KDZ93" s="704"/>
      <c r="KEA93" s="704"/>
      <c r="KEB93" s="704"/>
      <c r="KEC93" s="704"/>
      <c r="KED93" s="704"/>
      <c r="KEE93" s="704"/>
      <c r="KEF93" s="704"/>
      <c r="KEG93" s="704"/>
      <c r="KEH93" s="704"/>
      <c r="KEI93" s="704"/>
      <c r="KEJ93" s="704"/>
      <c r="KEK93" s="704"/>
      <c r="KEL93" s="704"/>
      <c r="KEM93" s="704"/>
      <c r="KEN93" s="704"/>
      <c r="KEO93" s="704"/>
      <c r="KEP93" s="704"/>
      <c r="KEQ93" s="704"/>
      <c r="KER93" s="704"/>
      <c r="KES93" s="704"/>
      <c r="KET93" s="704"/>
      <c r="KEU93" s="704"/>
      <c r="KEV93" s="704"/>
      <c r="KEW93" s="704"/>
      <c r="KEX93" s="704"/>
      <c r="KEY93" s="704"/>
      <c r="KEZ93" s="704"/>
      <c r="KFA93" s="704"/>
      <c r="KFB93" s="704"/>
      <c r="KFC93" s="704"/>
      <c r="KFD93" s="704"/>
      <c r="KFE93" s="704"/>
      <c r="KFF93" s="704"/>
      <c r="KFG93" s="704"/>
      <c r="KFH93" s="704"/>
      <c r="KFI93" s="704"/>
      <c r="KFJ93" s="704"/>
      <c r="KFK93" s="704"/>
      <c r="KFL93" s="704"/>
      <c r="KFM93" s="704"/>
      <c r="KFN93" s="704"/>
      <c r="KFO93" s="704"/>
      <c r="KFP93" s="704"/>
      <c r="KFQ93" s="704"/>
      <c r="KFR93" s="704"/>
      <c r="KFS93" s="704"/>
      <c r="KFT93" s="704"/>
      <c r="KFU93" s="704"/>
      <c r="KFV93" s="704"/>
      <c r="KFW93" s="704"/>
      <c r="KFX93" s="704"/>
      <c r="KFY93" s="704"/>
      <c r="KFZ93" s="704"/>
      <c r="KGA93" s="704"/>
      <c r="KGB93" s="704"/>
      <c r="KGC93" s="704"/>
      <c r="KGD93" s="704"/>
      <c r="KGE93" s="704"/>
      <c r="KGF93" s="704"/>
      <c r="KGG93" s="704"/>
      <c r="KGH93" s="704"/>
      <c r="KGI93" s="704"/>
      <c r="KGJ93" s="704"/>
      <c r="KGK93" s="704"/>
      <c r="KGL93" s="704"/>
      <c r="KGM93" s="704"/>
      <c r="KGN93" s="704"/>
      <c r="KGO93" s="704"/>
      <c r="KGP93" s="704"/>
      <c r="KGQ93" s="704"/>
      <c r="KGR93" s="704"/>
      <c r="KGS93" s="704"/>
      <c r="KGT93" s="704"/>
      <c r="KGU93" s="704"/>
      <c r="KGV93" s="704"/>
      <c r="KGW93" s="704"/>
      <c r="KGX93" s="704"/>
      <c r="KGY93" s="704"/>
      <c r="KGZ93" s="704"/>
      <c r="KHA93" s="704"/>
      <c r="KHB93" s="704"/>
      <c r="KHC93" s="704"/>
      <c r="KHD93" s="704"/>
      <c r="KHE93" s="704"/>
      <c r="KHF93" s="704"/>
      <c r="KHG93" s="704"/>
      <c r="KHH93" s="704"/>
      <c r="KHI93" s="704"/>
      <c r="KHJ93" s="704"/>
      <c r="KHK93" s="704"/>
      <c r="KHL93" s="704"/>
      <c r="KHM93" s="704"/>
      <c r="KHN93" s="704"/>
      <c r="KHO93" s="704"/>
      <c r="KHP93" s="704"/>
      <c r="KHQ93" s="704"/>
      <c r="KHR93" s="704"/>
      <c r="KHS93" s="704"/>
      <c r="KHT93" s="704"/>
      <c r="KHU93" s="704"/>
      <c r="KHV93" s="704"/>
      <c r="KHW93" s="704"/>
      <c r="KHX93" s="704"/>
      <c r="KHY93" s="704"/>
      <c r="KHZ93" s="704"/>
      <c r="KIA93" s="704"/>
      <c r="KIB93" s="704"/>
      <c r="KIC93" s="704"/>
      <c r="KID93" s="704"/>
      <c r="KIE93" s="704"/>
      <c r="KIF93" s="704"/>
      <c r="KIG93" s="704"/>
      <c r="KIH93" s="704"/>
      <c r="KII93" s="704"/>
      <c r="KIP93" s="704"/>
      <c r="KIQ93" s="704"/>
      <c r="KIR93" s="704"/>
      <c r="KIS93" s="704"/>
      <c r="KIT93" s="704"/>
      <c r="KIU93" s="704"/>
      <c r="KIV93" s="704"/>
      <c r="KIW93" s="704"/>
      <c r="KIX93" s="704"/>
      <c r="KIY93" s="704"/>
      <c r="KIZ93" s="704"/>
      <c r="KJA93" s="704"/>
      <c r="KJB93" s="704"/>
      <c r="KJC93" s="704"/>
      <c r="KJD93" s="704"/>
      <c r="KJE93" s="704"/>
      <c r="KJF93" s="704"/>
      <c r="KJG93" s="704"/>
      <c r="KJH93" s="704"/>
      <c r="KJI93" s="704"/>
      <c r="KJJ93" s="704"/>
      <c r="KJK93" s="704"/>
      <c r="KJL93" s="704"/>
      <c r="KJM93" s="704"/>
      <c r="KJN93" s="704"/>
      <c r="KJO93" s="704"/>
      <c r="KJP93" s="704"/>
      <c r="KJQ93" s="704"/>
      <c r="KJR93" s="704"/>
      <c r="KJS93" s="704"/>
      <c r="KJT93" s="704"/>
      <c r="KJU93" s="704"/>
      <c r="KJV93" s="704"/>
      <c r="KJW93" s="704"/>
      <c r="KJX93" s="704"/>
      <c r="KJY93" s="704"/>
      <c r="KJZ93" s="704"/>
      <c r="KKA93" s="704"/>
      <c r="KKB93" s="704"/>
      <c r="KKC93" s="704"/>
      <c r="KKD93" s="704"/>
      <c r="KKE93" s="704"/>
      <c r="KKF93" s="704"/>
      <c r="KKG93" s="704"/>
      <c r="KKH93" s="704"/>
      <c r="KKI93" s="704"/>
      <c r="KKJ93" s="704"/>
      <c r="KKK93" s="704"/>
      <c r="KKL93" s="704"/>
      <c r="KKM93" s="704"/>
      <c r="KKN93" s="704"/>
      <c r="KKO93" s="704"/>
      <c r="KKP93" s="704"/>
      <c r="KKQ93" s="704"/>
      <c r="KKR93" s="704"/>
      <c r="KKS93" s="704"/>
      <c r="KKT93" s="704"/>
      <c r="KKU93" s="704"/>
      <c r="KKV93" s="704"/>
      <c r="KKW93" s="704"/>
      <c r="KKX93" s="704"/>
      <c r="KKY93" s="704"/>
      <c r="KKZ93" s="704"/>
      <c r="KLA93" s="704"/>
      <c r="KLB93" s="704"/>
      <c r="KLC93" s="704"/>
      <c r="KLD93" s="704"/>
      <c r="KLE93" s="704"/>
      <c r="KLF93" s="704"/>
      <c r="KLG93" s="704"/>
      <c r="KLH93" s="704"/>
      <c r="KLI93" s="704"/>
      <c r="KLJ93" s="704"/>
      <c r="KLK93" s="704"/>
      <c r="KLL93" s="704"/>
      <c r="KLM93" s="704"/>
      <c r="KLN93" s="704"/>
      <c r="KLO93" s="704"/>
      <c r="KLP93" s="704"/>
      <c r="KLQ93" s="704"/>
      <c r="KLR93" s="704"/>
      <c r="KLS93" s="704"/>
      <c r="KLT93" s="704"/>
      <c r="KLU93" s="704"/>
      <c r="KLV93" s="704"/>
      <c r="KLW93" s="704"/>
      <c r="KLX93" s="704"/>
      <c r="KLY93" s="704"/>
      <c r="KLZ93" s="704"/>
      <c r="KMA93" s="704"/>
      <c r="KMB93" s="704"/>
      <c r="KMC93" s="704"/>
      <c r="KMD93" s="704"/>
      <c r="KME93" s="704"/>
      <c r="KMF93" s="704"/>
      <c r="KMG93" s="704"/>
      <c r="KMH93" s="704"/>
      <c r="KMI93" s="704"/>
      <c r="KMJ93" s="704"/>
      <c r="KMK93" s="704"/>
      <c r="KML93" s="704"/>
      <c r="KMM93" s="704"/>
      <c r="KMN93" s="704"/>
      <c r="KMO93" s="704"/>
      <c r="KMP93" s="704"/>
      <c r="KMQ93" s="704"/>
      <c r="KMR93" s="704"/>
      <c r="KMS93" s="704"/>
      <c r="KMT93" s="704"/>
      <c r="KMU93" s="704"/>
      <c r="KMV93" s="704"/>
      <c r="KMW93" s="704"/>
      <c r="KMX93" s="704"/>
      <c r="KMY93" s="704"/>
      <c r="KMZ93" s="704"/>
      <c r="KNA93" s="704"/>
      <c r="KNB93" s="704"/>
      <c r="KNC93" s="704"/>
      <c r="KND93" s="704"/>
      <c r="KNE93" s="704"/>
      <c r="KNF93" s="704"/>
      <c r="KNG93" s="704"/>
      <c r="KNH93" s="704"/>
      <c r="KNI93" s="704"/>
      <c r="KNJ93" s="704"/>
      <c r="KNK93" s="704"/>
      <c r="KNL93" s="704"/>
      <c r="KNM93" s="704"/>
      <c r="KNN93" s="704"/>
      <c r="KNO93" s="704"/>
      <c r="KNP93" s="704"/>
      <c r="KNQ93" s="704"/>
      <c r="KNR93" s="704"/>
      <c r="KNS93" s="704"/>
      <c r="KNT93" s="704"/>
      <c r="KNU93" s="704"/>
      <c r="KNV93" s="704"/>
      <c r="KNW93" s="704"/>
      <c r="KNX93" s="704"/>
      <c r="KNY93" s="704"/>
      <c r="KNZ93" s="704"/>
      <c r="KOA93" s="704"/>
      <c r="KOB93" s="704"/>
      <c r="KOC93" s="704"/>
      <c r="KOD93" s="704"/>
      <c r="KOE93" s="704"/>
      <c r="KOF93" s="704"/>
      <c r="KOG93" s="704"/>
      <c r="KOH93" s="704"/>
      <c r="KOI93" s="704"/>
      <c r="KOJ93" s="704"/>
      <c r="KOK93" s="704"/>
      <c r="KOL93" s="704"/>
      <c r="KOM93" s="704"/>
      <c r="KON93" s="704"/>
      <c r="KOO93" s="704"/>
      <c r="KOP93" s="704"/>
      <c r="KOQ93" s="704"/>
      <c r="KOR93" s="704"/>
      <c r="KOS93" s="704"/>
      <c r="KOT93" s="704"/>
      <c r="KOU93" s="704"/>
      <c r="KOV93" s="704"/>
      <c r="KOW93" s="704"/>
      <c r="KOX93" s="704"/>
      <c r="KOY93" s="704"/>
      <c r="KOZ93" s="704"/>
      <c r="KPA93" s="704"/>
      <c r="KPB93" s="704"/>
      <c r="KPC93" s="704"/>
      <c r="KPD93" s="704"/>
      <c r="KPE93" s="704"/>
      <c r="KPF93" s="704"/>
      <c r="KPG93" s="704"/>
      <c r="KPH93" s="704"/>
      <c r="KPI93" s="704"/>
      <c r="KPJ93" s="704"/>
      <c r="KPK93" s="704"/>
      <c r="KPL93" s="704"/>
      <c r="KPM93" s="704"/>
      <c r="KPN93" s="704"/>
      <c r="KPO93" s="704"/>
      <c r="KPP93" s="704"/>
      <c r="KPQ93" s="704"/>
      <c r="KPR93" s="704"/>
      <c r="KPS93" s="704"/>
      <c r="KPT93" s="704"/>
      <c r="KPU93" s="704"/>
      <c r="KPV93" s="704"/>
      <c r="KPW93" s="704"/>
      <c r="KPX93" s="704"/>
      <c r="KPY93" s="704"/>
      <c r="KPZ93" s="704"/>
      <c r="KQA93" s="704"/>
      <c r="KQB93" s="704"/>
      <c r="KQC93" s="704"/>
      <c r="KQD93" s="704"/>
      <c r="KQE93" s="704"/>
      <c r="KQF93" s="704"/>
      <c r="KQG93" s="704"/>
      <c r="KQH93" s="704"/>
      <c r="KQI93" s="704"/>
      <c r="KQJ93" s="704"/>
      <c r="KQK93" s="704"/>
      <c r="KQL93" s="704"/>
      <c r="KQM93" s="704"/>
      <c r="KQN93" s="704"/>
      <c r="KQO93" s="704"/>
      <c r="KQP93" s="704"/>
      <c r="KQQ93" s="704"/>
      <c r="KQR93" s="704"/>
      <c r="KQS93" s="704"/>
      <c r="KQT93" s="704"/>
      <c r="KQU93" s="704"/>
      <c r="KQV93" s="704"/>
      <c r="KQW93" s="704"/>
      <c r="KQX93" s="704"/>
      <c r="KQY93" s="704"/>
      <c r="KQZ93" s="704"/>
      <c r="KRA93" s="704"/>
      <c r="KRB93" s="704"/>
      <c r="KRC93" s="704"/>
      <c r="KRD93" s="704"/>
      <c r="KRE93" s="704"/>
      <c r="KRF93" s="704"/>
      <c r="KRG93" s="704"/>
      <c r="KRH93" s="704"/>
      <c r="KRI93" s="704"/>
      <c r="KRJ93" s="704"/>
      <c r="KRK93" s="704"/>
      <c r="KRL93" s="704"/>
      <c r="KRM93" s="704"/>
      <c r="KRN93" s="704"/>
      <c r="KRO93" s="704"/>
      <c r="KRP93" s="704"/>
      <c r="KRQ93" s="704"/>
      <c r="KRR93" s="704"/>
      <c r="KRS93" s="704"/>
      <c r="KRT93" s="704"/>
      <c r="KRU93" s="704"/>
      <c r="KRV93" s="704"/>
      <c r="KRW93" s="704"/>
      <c r="KRX93" s="704"/>
      <c r="KRY93" s="704"/>
      <c r="KRZ93" s="704"/>
      <c r="KSA93" s="704"/>
      <c r="KSB93" s="704"/>
      <c r="KSC93" s="704"/>
      <c r="KSD93" s="704"/>
      <c r="KSE93" s="704"/>
      <c r="KSL93" s="704"/>
      <c r="KSM93" s="704"/>
      <c r="KSN93" s="704"/>
      <c r="KSO93" s="704"/>
      <c r="KSP93" s="704"/>
      <c r="KSQ93" s="704"/>
      <c r="KSR93" s="704"/>
      <c r="KSS93" s="704"/>
      <c r="KST93" s="704"/>
      <c r="KSU93" s="704"/>
      <c r="KSV93" s="704"/>
      <c r="KSW93" s="704"/>
      <c r="KSX93" s="704"/>
      <c r="KSY93" s="704"/>
      <c r="KSZ93" s="704"/>
      <c r="KTA93" s="704"/>
      <c r="KTB93" s="704"/>
      <c r="KTC93" s="704"/>
      <c r="KTD93" s="704"/>
      <c r="KTE93" s="704"/>
      <c r="KTF93" s="704"/>
      <c r="KTG93" s="704"/>
      <c r="KTH93" s="704"/>
      <c r="KTI93" s="704"/>
      <c r="KTJ93" s="704"/>
      <c r="KTK93" s="704"/>
      <c r="KTL93" s="704"/>
      <c r="KTM93" s="704"/>
      <c r="KTN93" s="704"/>
      <c r="KTO93" s="704"/>
      <c r="KTP93" s="704"/>
      <c r="KTQ93" s="704"/>
      <c r="KTR93" s="704"/>
      <c r="KTS93" s="704"/>
      <c r="KTT93" s="704"/>
      <c r="KTU93" s="704"/>
      <c r="KTV93" s="704"/>
      <c r="KTW93" s="704"/>
      <c r="KTX93" s="704"/>
      <c r="KTY93" s="704"/>
      <c r="KTZ93" s="704"/>
      <c r="KUA93" s="704"/>
      <c r="KUB93" s="704"/>
      <c r="KUC93" s="704"/>
      <c r="KUD93" s="704"/>
      <c r="KUE93" s="704"/>
      <c r="KUF93" s="704"/>
      <c r="KUG93" s="704"/>
      <c r="KUH93" s="704"/>
      <c r="KUI93" s="704"/>
      <c r="KUJ93" s="704"/>
      <c r="KUK93" s="704"/>
      <c r="KUL93" s="704"/>
      <c r="KUM93" s="704"/>
      <c r="KUN93" s="704"/>
      <c r="KUO93" s="704"/>
      <c r="KUP93" s="704"/>
      <c r="KUQ93" s="704"/>
      <c r="KUR93" s="704"/>
      <c r="KUS93" s="704"/>
      <c r="KUT93" s="704"/>
      <c r="KUU93" s="704"/>
      <c r="KUV93" s="704"/>
      <c r="KUW93" s="704"/>
      <c r="KUX93" s="704"/>
      <c r="KUY93" s="704"/>
      <c r="KUZ93" s="704"/>
      <c r="KVA93" s="704"/>
      <c r="KVB93" s="704"/>
      <c r="KVC93" s="704"/>
      <c r="KVD93" s="704"/>
      <c r="KVE93" s="704"/>
      <c r="KVF93" s="704"/>
      <c r="KVG93" s="704"/>
      <c r="KVH93" s="704"/>
      <c r="KVI93" s="704"/>
      <c r="KVJ93" s="704"/>
      <c r="KVK93" s="704"/>
      <c r="KVL93" s="704"/>
      <c r="KVM93" s="704"/>
      <c r="KVN93" s="704"/>
      <c r="KVO93" s="704"/>
      <c r="KVP93" s="704"/>
      <c r="KVQ93" s="704"/>
      <c r="KVR93" s="704"/>
      <c r="KVS93" s="704"/>
      <c r="KVT93" s="704"/>
      <c r="KVU93" s="704"/>
      <c r="KVV93" s="704"/>
      <c r="KVW93" s="704"/>
      <c r="KVX93" s="704"/>
      <c r="KVY93" s="704"/>
      <c r="KVZ93" s="704"/>
      <c r="KWA93" s="704"/>
      <c r="KWB93" s="704"/>
      <c r="KWC93" s="704"/>
      <c r="KWD93" s="704"/>
      <c r="KWE93" s="704"/>
      <c r="KWF93" s="704"/>
      <c r="KWG93" s="704"/>
      <c r="KWH93" s="704"/>
      <c r="KWI93" s="704"/>
      <c r="KWJ93" s="704"/>
      <c r="KWK93" s="704"/>
      <c r="KWL93" s="704"/>
      <c r="KWM93" s="704"/>
      <c r="KWN93" s="704"/>
      <c r="KWO93" s="704"/>
      <c r="KWP93" s="704"/>
      <c r="KWQ93" s="704"/>
      <c r="KWR93" s="704"/>
      <c r="KWS93" s="704"/>
      <c r="KWT93" s="704"/>
      <c r="KWU93" s="704"/>
      <c r="KWV93" s="704"/>
      <c r="KWW93" s="704"/>
      <c r="KWX93" s="704"/>
      <c r="KWY93" s="704"/>
      <c r="KWZ93" s="704"/>
      <c r="KXA93" s="704"/>
      <c r="KXB93" s="704"/>
      <c r="KXC93" s="704"/>
      <c r="KXD93" s="704"/>
      <c r="KXE93" s="704"/>
      <c r="KXF93" s="704"/>
      <c r="KXG93" s="704"/>
      <c r="KXH93" s="704"/>
      <c r="KXI93" s="704"/>
      <c r="KXJ93" s="704"/>
      <c r="KXK93" s="704"/>
      <c r="KXL93" s="704"/>
      <c r="KXM93" s="704"/>
      <c r="KXN93" s="704"/>
      <c r="KXO93" s="704"/>
      <c r="KXP93" s="704"/>
      <c r="KXQ93" s="704"/>
      <c r="KXR93" s="704"/>
      <c r="KXS93" s="704"/>
      <c r="KXT93" s="704"/>
      <c r="KXU93" s="704"/>
      <c r="KXV93" s="704"/>
      <c r="KXW93" s="704"/>
      <c r="KXX93" s="704"/>
      <c r="KXY93" s="704"/>
      <c r="KXZ93" s="704"/>
      <c r="KYA93" s="704"/>
      <c r="KYB93" s="704"/>
      <c r="KYC93" s="704"/>
      <c r="KYD93" s="704"/>
      <c r="KYE93" s="704"/>
      <c r="KYF93" s="704"/>
      <c r="KYG93" s="704"/>
      <c r="KYH93" s="704"/>
      <c r="KYI93" s="704"/>
      <c r="KYJ93" s="704"/>
      <c r="KYK93" s="704"/>
      <c r="KYL93" s="704"/>
      <c r="KYM93" s="704"/>
      <c r="KYN93" s="704"/>
      <c r="KYO93" s="704"/>
      <c r="KYP93" s="704"/>
      <c r="KYQ93" s="704"/>
      <c r="KYR93" s="704"/>
      <c r="KYS93" s="704"/>
      <c r="KYT93" s="704"/>
      <c r="KYU93" s="704"/>
      <c r="KYV93" s="704"/>
      <c r="KYW93" s="704"/>
      <c r="KYX93" s="704"/>
      <c r="KYY93" s="704"/>
      <c r="KYZ93" s="704"/>
      <c r="KZA93" s="704"/>
      <c r="KZB93" s="704"/>
      <c r="KZC93" s="704"/>
      <c r="KZD93" s="704"/>
      <c r="KZE93" s="704"/>
      <c r="KZF93" s="704"/>
      <c r="KZG93" s="704"/>
      <c r="KZH93" s="704"/>
      <c r="KZI93" s="704"/>
      <c r="KZJ93" s="704"/>
      <c r="KZK93" s="704"/>
      <c r="KZL93" s="704"/>
      <c r="KZM93" s="704"/>
      <c r="KZN93" s="704"/>
      <c r="KZO93" s="704"/>
      <c r="KZP93" s="704"/>
      <c r="KZQ93" s="704"/>
      <c r="KZR93" s="704"/>
      <c r="KZS93" s="704"/>
      <c r="KZT93" s="704"/>
      <c r="KZU93" s="704"/>
      <c r="KZV93" s="704"/>
      <c r="KZW93" s="704"/>
      <c r="KZX93" s="704"/>
      <c r="KZY93" s="704"/>
      <c r="KZZ93" s="704"/>
      <c r="LAA93" s="704"/>
      <c r="LAB93" s="704"/>
      <c r="LAC93" s="704"/>
      <c r="LAD93" s="704"/>
      <c r="LAE93" s="704"/>
      <c r="LAF93" s="704"/>
      <c r="LAG93" s="704"/>
      <c r="LAH93" s="704"/>
      <c r="LAI93" s="704"/>
      <c r="LAJ93" s="704"/>
      <c r="LAK93" s="704"/>
      <c r="LAL93" s="704"/>
      <c r="LAM93" s="704"/>
      <c r="LAN93" s="704"/>
      <c r="LAO93" s="704"/>
      <c r="LAP93" s="704"/>
      <c r="LAQ93" s="704"/>
      <c r="LAR93" s="704"/>
      <c r="LAS93" s="704"/>
      <c r="LAT93" s="704"/>
      <c r="LAU93" s="704"/>
      <c r="LAV93" s="704"/>
      <c r="LAW93" s="704"/>
      <c r="LAX93" s="704"/>
      <c r="LAY93" s="704"/>
      <c r="LAZ93" s="704"/>
      <c r="LBA93" s="704"/>
      <c r="LBB93" s="704"/>
      <c r="LBC93" s="704"/>
      <c r="LBD93" s="704"/>
      <c r="LBE93" s="704"/>
      <c r="LBF93" s="704"/>
      <c r="LBG93" s="704"/>
      <c r="LBH93" s="704"/>
      <c r="LBI93" s="704"/>
      <c r="LBJ93" s="704"/>
      <c r="LBK93" s="704"/>
      <c r="LBL93" s="704"/>
      <c r="LBM93" s="704"/>
      <c r="LBN93" s="704"/>
      <c r="LBO93" s="704"/>
      <c r="LBP93" s="704"/>
      <c r="LBQ93" s="704"/>
      <c r="LBR93" s="704"/>
      <c r="LBS93" s="704"/>
      <c r="LBT93" s="704"/>
      <c r="LBU93" s="704"/>
      <c r="LBV93" s="704"/>
      <c r="LBW93" s="704"/>
      <c r="LBX93" s="704"/>
      <c r="LBY93" s="704"/>
      <c r="LBZ93" s="704"/>
      <c r="LCA93" s="704"/>
      <c r="LCH93" s="704"/>
      <c r="LCI93" s="704"/>
      <c r="LCJ93" s="704"/>
      <c r="LCK93" s="704"/>
      <c r="LCL93" s="704"/>
      <c r="LCM93" s="704"/>
      <c r="LCN93" s="704"/>
      <c r="LCO93" s="704"/>
      <c r="LCP93" s="704"/>
      <c r="LCQ93" s="704"/>
      <c r="LCR93" s="704"/>
      <c r="LCS93" s="704"/>
      <c r="LCT93" s="704"/>
      <c r="LCU93" s="704"/>
      <c r="LCV93" s="704"/>
      <c r="LCW93" s="704"/>
      <c r="LCX93" s="704"/>
      <c r="LCY93" s="704"/>
      <c r="LCZ93" s="704"/>
      <c r="LDA93" s="704"/>
      <c r="LDB93" s="704"/>
      <c r="LDC93" s="704"/>
      <c r="LDD93" s="704"/>
      <c r="LDE93" s="704"/>
      <c r="LDF93" s="704"/>
      <c r="LDG93" s="704"/>
      <c r="LDH93" s="704"/>
      <c r="LDI93" s="704"/>
      <c r="LDJ93" s="704"/>
      <c r="LDK93" s="704"/>
      <c r="LDL93" s="704"/>
      <c r="LDM93" s="704"/>
      <c r="LDN93" s="704"/>
      <c r="LDO93" s="704"/>
      <c r="LDP93" s="704"/>
      <c r="LDQ93" s="704"/>
      <c r="LDR93" s="704"/>
      <c r="LDS93" s="704"/>
      <c r="LDT93" s="704"/>
      <c r="LDU93" s="704"/>
      <c r="LDV93" s="704"/>
      <c r="LDW93" s="704"/>
      <c r="LDX93" s="704"/>
      <c r="LDY93" s="704"/>
      <c r="LDZ93" s="704"/>
      <c r="LEA93" s="704"/>
      <c r="LEB93" s="704"/>
      <c r="LEC93" s="704"/>
      <c r="LED93" s="704"/>
      <c r="LEE93" s="704"/>
      <c r="LEF93" s="704"/>
      <c r="LEG93" s="704"/>
      <c r="LEH93" s="704"/>
      <c r="LEI93" s="704"/>
      <c r="LEJ93" s="704"/>
      <c r="LEK93" s="704"/>
      <c r="LEL93" s="704"/>
      <c r="LEM93" s="704"/>
      <c r="LEN93" s="704"/>
      <c r="LEO93" s="704"/>
      <c r="LEP93" s="704"/>
      <c r="LEQ93" s="704"/>
      <c r="LER93" s="704"/>
      <c r="LES93" s="704"/>
      <c r="LET93" s="704"/>
      <c r="LEU93" s="704"/>
      <c r="LEV93" s="704"/>
      <c r="LEW93" s="704"/>
      <c r="LEX93" s="704"/>
      <c r="LEY93" s="704"/>
      <c r="LEZ93" s="704"/>
      <c r="LFA93" s="704"/>
      <c r="LFB93" s="704"/>
      <c r="LFC93" s="704"/>
      <c r="LFD93" s="704"/>
      <c r="LFE93" s="704"/>
      <c r="LFF93" s="704"/>
      <c r="LFG93" s="704"/>
      <c r="LFH93" s="704"/>
      <c r="LFI93" s="704"/>
      <c r="LFJ93" s="704"/>
      <c r="LFK93" s="704"/>
      <c r="LFL93" s="704"/>
      <c r="LFM93" s="704"/>
      <c r="LFN93" s="704"/>
      <c r="LFO93" s="704"/>
      <c r="LFP93" s="704"/>
      <c r="LFQ93" s="704"/>
      <c r="LFR93" s="704"/>
      <c r="LFS93" s="704"/>
      <c r="LFT93" s="704"/>
      <c r="LFU93" s="704"/>
      <c r="LFV93" s="704"/>
      <c r="LFW93" s="704"/>
      <c r="LFX93" s="704"/>
      <c r="LFY93" s="704"/>
      <c r="LFZ93" s="704"/>
      <c r="LGA93" s="704"/>
      <c r="LGB93" s="704"/>
      <c r="LGC93" s="704"/>
      <c r="LGD93" s="704"/>
      <c r="LGE93" s="704"/>
      <c r="LGF93" s="704"/>
      <c r="LGG93" s="704"/>
      <c r="LGH93" s="704"/>
      <c r="LGI93" s="704"/>
      <c r="LGJ93" s="704"/>
      <c r="LGK93" s="704"/>
      <c r="LGL93" s="704"/>
      <c r="LGM93" s="704"/>
      <c r="LGN93" s="704"/>
      <c r="LGO93" s="704"/>
      <c r="LGP93" s="704"/>
      <c r="LGQ93" s="704"/>
      <c r="LGR93" s="704"/>
      <c r="LGS93" s="704"/>
      <c r="LGT93" s="704"/>
      <c r="LGU93" s="704"/>
      <c r="LGV93" s="704"/>
      <c r="LGW93" s="704"/>
      <c r="LGX93" s="704"/>
      <c r="LGY93" s="704"/>
      <c r="LGZ93" s="704"/>
      <c r="LHA93" s="704"/>
      <c r="LHB93" s="704"/>
      <c r="LHC93" s="704"/>
      <c r="LHD93" s="704"/>
      <c r="LHE93" s="704"/>
      <c r="LHF93" s="704"/>
      <c r="LHG93" s="704"/>
      <c r="LHH93" s="704"/>
      <c r="LHI93" s="704"/>
      <c r="LHJ93" s="704"/>
      <c r="LHK93" s="704"/>
      <c r="LHL93" s="704"/>
      <c r="LHM93" s="704"/>
      <c r="LHN93" s="704"/>
      <c r="LHO93" s="704"/>
      <c r="LHP93" s="704"/>
      <c r="LHQ93" s="704"/>
      <c r="LHR93" s="704"/>
      <c r="LHS93" s="704"/>
      <c r="LHT93" s="704"/>
      <c r="LHU93" s="704"/>
      <c r="LHV93" s="704"/>
      <c r="LHW93" s="704"/>
      <c r="LHX93" s="704"/>
      <c r="LHY93" s="704"/>
      <c r="LHZ93" s="704"/>
      <c r="LIA93" s="704"/>
      <c r="LIB93" s="704"/>
      <c r="LIC93" s="704"/>
      <c r="LID93" s="704"/>
      <c r="LIE93" s="704"/>
      <c r="LIF93" s="704"/>
      <c r="LIG93" s="704"/>
      <c r="LIH93" s="704"/>
      <c r="LII93" s="704"/>
      <c r="LIJ93" s="704"/>
      <c r="LIK93" s="704"/>
      <c r="LIL93" s="704"/>
      <c r="LIM93" s="704"/>
      <c r="LIN93" s="704"/>
      <c r="LIO93" s="704"/>
      <c r="LIP93" s="704"/>
      <c r="LIQ93" s="704"/>
      <c r="LIR93" s="704"/>
      <c r="LIS93" s="704"/>
      <c r="LIT93" s="704"/>
      <c r="LIU93" s="704"/>
      <c r="LIV93" s="704"/>
      <c r="LIW93" s="704"/>
      <c r="LIX93" s="704"/>
      <c r="LIY93" s="704"/>
      <c r="LIZ93" s="704"/>
      <c r="LJA93" s="704"/>
      <c r="LJB93" s="704"/>
      <c r="LJC93" s="704"/>
      <c r="LJD93" s="704"/>
      <c r="LJE93" s="704"/>
      <c r="LJF93" s="704"/>
      <c r="LJG93" s="704"/>
      <c r="LJH93" s="704"/>
      <c r="LJI93" s="704"/>
      <c r="LJJ93" s="704"/>
      <c r="LJK93" s="704"/>
      <c r="LJL93" s="704"/>
      <c r="LJM93" s="704"/>
      <c r="LJN93" s="704"/>
      <c r="LJO93" s="704"/>
      <c r="LJP93" s="704"/>
      <c r="LJQ93" s="704"/>
      <c r="LJR93" s="704"/>
      <c r="LJS93" s="704"/>
      <c r="LJT93" s="704"/>
      <c r="LJU93" s="704"/>
      <c r="LJV93" s="704"/>
      <c r="LJW93" s="704"/>
      <c r="LJX93" s="704"/>
      <c r="LJY93" s="704"/>
      <c r="LJZ93" s="704"/>
      <c r="LKA93" s="704"/>
      <c r="LKB93" s="704"/>
      <c r="LKC93" s="704"/>
      <c r="LKD93" s="704"/>
      <c r="LKE93" s="704"/>
      <c r="LKF93" s="704"/>
      <c r="LKG93" s="704"/>
      <c r="LKH93" s="704"/>
      <c r="LKI93" s="704"/>
      <c r="LKJ93" s="704"/>
      <c r="LKK93" s="704"/>
      <c r="LKL93" s="704"/>
      <c r="LKM93" s="704"/>
      <c r="LKN93" s="704"/>
      <c r="LKO93" s="704"/>
      <c r="LKP93" s="704"/>
      <c r="LKQ93" s="704"/>
      <c r="LKR93" s="704"/>
      <c r="LKS93" s="704"/>
      <c r="LKT93" s="704"/>
      <c r="LKU93" s="704"/>
      <c r="LKV93" s="704"/>
      <c r="LKW93" s="704"/>
      <c r="LKX93" s="704"/>
      <c r="LKY93" s="704"/>
      <c r="LKZ93" s="704"/>
      <c r="LLA93" s="704"/>
      <c r="LLB93" s="704"/>
      <c r="LLC93" s="704"/>
      <c r="LLD93" s="704"/>
      <c r="LLE93" s="704"/>
      <c r="LLF93" s="704"/>
      <c r="LLG93" s="704"/>
      <c r="LLH93" s="704"/>
      <c r="LLI93" s="704"/>
      <c r="LLJ93" s="704"/>
      <c r="LLK93" s="704"/>
      <c r="LLL93" s="704"/>
      <c r="LLM93" s="704"/>
      <c r="LLN93" s="704"/>
      <c r="LLO93" s="704"/>
      <c r="LLP93" s="704"/>
      <c r="LLQ93" s="704"/>
      <c r="LLR93" s="704"/>
      <c r="LLS93" s="704"/>
      <c r="LLT93" s="704"/>
      <c r="LLU93" s="704"/>
      <c r="LLV93" s="704"/>
      <c r="LLW93" s="704"/>
      <c r="LMD93" s="704"/>
      <c r="LME93" s="704"/>
      <c r="LMF93" s="704"/>
      <c r="LMG93" s="704"/>
      <c r="LMH93" s="704"/>
      <c r="LMI93" s="704"/>
      <c r="LMJ93" s="704"/>
      <c r="LMK93" s="704"/>
      <c r="LML93" s="704"/>
      <c r="LMM93" s="704"/>
      <c r="LMN93" s="704"/>
      <c r="LMO93" s="704"/>
      <c r="LMP93" s="704"/>
      <c r="LMQ93" s="704"/>
      <c r="LMR93" s="704"/>
      <c r="LMS93" s="704"/>
      <c r="LMT93" s="704"/>
      <c r="LMU93" s="704"/>
      <c r="LMV93" s="704"/>
      <c r="LMW93" s="704"/>
      <c r="LMX93" s="704"/>
      <c r="LMY93" s="704"/>
      <c r="LMZ93" s="704"/>
      <c r="LNA93" s="704"/>
      <c r="LNB93" s="704"/>
      <c r="LNC93" s="704"/>
      <c r="LND93" s="704"/>
      <c r="LNE93" s="704"/>
      <c r="LNF93" s="704"/>
      <c r="LNG93" s="704"/>
      <c r="LNH93" s="704"/>
      <c r="LNI93" s="704"/>
      <c r="LNJ93" s="704"/>
      <c r="LNK93" s="704"/>
      <c r="LNL93" s="704"/>
      <c r="LNM93" s="704"/>
      <c r="LNN93" s="704"/>
      <c r="LNO93" s="704"/>
      <c r="LNP93" s="704"/>
      <c r="LNQ93" s="704"/>
      <c r="LNR93" s="704"/>
      <c r="LNS93" s="704"/>
      <c r="LNT93" s="704"/>
      <c r="LNU93" s="704"/>
      <c r="LNV93" s="704"/>
      <c r="LNW93" s="704"/>
      <c r="LNX93" s="704"/>
      <c r="LNY93" s="704"/>
      <c r="LNZ93" s="704"/>
      <c r="LOA93" s="704"/>
      <c r="LOB93" s="704"/>
      <c r="LOC93" s="704"/>
      <c r="LOD93" s="704"/>
      <c r="LOE93" s="704"/>
      <c r="LOF93" s="704"/>
      <c r="LOG93" s="704"/>
      <c r="LOH93" s="704"/>
      <c r="LOI93" s="704"/>
      <c r="LOJ93" s="704"/>
      <c r="LOK93" s="704"/>
      <c r="LOL93" s="704"/>
      <c r="LOM93" s="704"/>
      <c r="LON93" s="704"/>
      <c r="LOO93" s="704"/>
      <c r="LOP93" s="704"/>
      <c r="LOQ93" s="704"/>
      <c r="LOR93" s="704"/>
      <c r="LOS93" s="704"/>
      <c r="LOT93" s="704"/>
      <c r="LOU93" s="704"/>
      <c r="LOV93" s="704"/>
      <c r="LOW93" s="704"/>
      <c r="LOX93" s="704"/>
      <c r="LOY93" s="704"/>
      <c r="LOZ93" s="704"/>
      <c r="LPA93" s="704"/>
      <c r="LPB93" s="704"/>
      <c r="LPC93" s="704"/>
      <c r="LPD93" s="704"/>
      <c r="LPE93" s="704"/>
      <c r="LPF93" s="704"/>
      <c r="LPG93" s="704"/>
      <c r="LPH93" s="704"/>
      <c r="LPI93" s="704"/>
      <c r="LPJ93" s="704"/>
      <c r="LPK93" s="704"/>
      <c r="LPL93" s="704"/>
      <c r="LPM93" s="704"/>
      <c r="LPN93" s="704"/>
      <c r="LPO93" s="704"/>
      <c r="LPP93" s="704"/>
      <c r="LPQ93" s="704"/>
      <c r="LPR93" s="704"/>
      <c r="LPS93" s="704"/>
      <c r="LPT93" s="704"/>
      <c r="LPU93" s="704"/>
      <c r="LPV93" s="704"/>
      <c r="LPW93" s="704"/>
      <c r="LPX93" s="704"/>
      <c r="LPY93" s="704"/>
      <c r="LPZ93" s="704"/>
      <c r="LQA93" s="704"/>
      <c r="LQB93" s="704"/>
      <c r="LQC93" s="704"/>
      <c r="LQD93" s="704"/>
      <c r="LQE93" s="704"/>
      <c r="LQF93" s="704"/>
      <c r="LQG93" s="704"/>
      <c r="LQH93" s="704"/>
      <c r="LQI93" s="704"/>
      <c r="LQJ93" s="704"/>
      <c r="LQK93" s="704"/>
      <c r="LQL93" s="704"/>
      <c r="LQM93" s="704"/>
      <c r="LQN93" s="704"/>
      <c r="LQO93" s="704"/>
      <c r="LQP93" s="704"/>
      <c r="LQQ93" s="704"/>
      <c r="LQR93" s="704"/>
      <c r="LQS93" s="704"/>
      <c r="LQT93" s="704"/>
      <c r="LQU93" s="704"/>
      <c r="LQV93" s="704"/>
      <c r="LQW93" s="704"/>
      <c r="LQX93" s="704"/>
      <c r="LQY93" s="704"/>
      <c r="LQZ93" s="704"/>
      <c r="LRA93" s="704"/>
      <c r="LRB93" s="704"/>
      <c r="LRC93" s="704"/>
      <c r="LRD93" s="704"/>
      <c r="LRE93" s="704"/>
      <c r="LRF93" s="704"/>
      <c r="LRG93" s="704"/>
      <c r="LRH93" s="704"/>
      <c r="LRI93" s="704"/>
      <c r="LRJ93" s="704"/>
      <c r="LRK93" s="704"/>
      <c r="LRL93" s="704"/>
      <c r="LRM93" s="704"/>
      <c r="LRN93" s="704"/>
      <c r="LRO93" s="704"/>
      <c r="LRP93" s="704"/>
      <c r="LRQ93" s="704"/>
      <c r="LRR93" s="704"/>
      <c r="LRS93" s="704"/>
      <c r="LRT93" s="704"/>
      <c r="LRU93" s="704"/>
      <c r="LRV93" s="704"/>
      <c r="LRW93" s="704"/>
      <c r="LRX93" s="704"/>
      <c r="LRY93" s="704"/>
      <c r="LRZ93" s="704"/>
      <c r="LSA93" s="704"/>
      <c r="LSB93" s="704"/>
      <c r="LSC93" s="704"/>
      <c r="LSD93" s="704"/>
      <c r="LSE93" s="704"/>
      <c r="LSF93" s="704"/>
      <c r="LSG93" s="704"/>
      <c r="LSH93" s="704"/>
      <c r="LSI93" s="704"/>
      <c r="LSJ93" s="704"/>
      <c r="LSK93" s="704"/>
      <c r="LSL93" s="704"/>
      <c r="LSM93" s="704"/>
      <c r="LSN93" s="704"/>
      <c r="LSO93" s="704"/>
      <c r="LSP93" s="704"/>
      <c r="LSQ93" s="704"/>
      <c r="LSR93" s="704"/>
      <c r="LSS93" s="704"/>
      <c r="LST93" s="704"/>
      <c r="LSU93" s="704"/>
      <c r="LSV93" s="704"/>
      <c r="LSW93" s="704"/>
      <c r="LSX93" s="704"/>
      <c r="LSY93" s="704"/>
      <c r="LSZ93" s="704"/>
      <c r="LTA93" s="704"/>
      <c r="LTB93" s="704"/>
      <c r="LTC93" s="704"/>
      <c r="LTD93" s="704"/>
      <c r="LTE93" s="704"/>
      <c r="LTF93" s="704"/>
      <c r="LTG93" s="704"/>
      <c r="LTH93" s="704"/>
      <c r="LTI93" s="704"/>
      <c r="LTJ93" s="704"/>
      <c r="LTK93" s="704"/>
      <c r="LTL93" s="704"/>
      <c r="LTM93" s="704"/>
      <c r="LTN93" s="704"/>
      <c r="LTO93" s="704"/>
      <c r="LTP93" s="704"/>
      <c r="LTQ93" s="704"/>
      <c r="LTR93" s="704"/>
      <c r="LTS93" s="704"/>
      <c r="LTT93" s="704"/>
      <c r="LTU93" s="704"/>
      <c r="LTV93" s="704"/>
      <c r="LTW93" s="704"/>
      <c r="LTX93" s="704"/>
      <c r="LTY93" s="704"/>
      <c r="LTZ93" s="704"/>
      <c r="LUA93" s="704"/>
      <c r="LUB93" s="704"/>
      <c r="LUC93" s="704"/>
      <c r="LUD93" s="704"/>
      <c r="LUE93" s="704"/>
      <c r="LUF93" s="704"/>
      <c r="LUG93" s="704"/>
      <c r="LUH93" s="704"/>
      <c r="LUI93" s="704"/>
      <c r="LUJ93" s="704"/>
      <c r="LUK93" s="704"/>
      <c r="LUL93" s="704"/>
      <c r="LUM93" s="704"/>
      <c r="LUN93" s="704"/>
      <c r="LUO93" s="704"/>
      <c r="LUP93" s="704"/>
      <c r="LUQ93" s="704"/>
      <c r="LUR93" s="704"/>
      <c r="LUS93" s="704"/>
      <c r="LUT93" s="704"/>
      <c r="LUU93" s="704"/>
      <c r="LUV93" s="704"/>
      <c r="LUW93" s="704"/>
      <c r="LUX93" s="704"/>
      <c r="LUY93" s="704"/>
      <c r="LUZ93" s="704"/>
      <c r="LVA93" s="704"/>
      <c r="LVB93" s="704"/>
      <c r="LVC93" s="704"/>
      <c r="LVD93" s="704"/>
      <c r="LVE93" s="704"/>
      <c r="LVF93" s="704"/>
      <c r="LVG93" s="704"/>
      <c r="LVH93" s="704"/>
      <c r="LVI93" s="704"/>
      <c r="LVJ93" s="704"/>
      <c r="LVK93" s="704"/>
      <c r="LVL93" s="704"/>
      <c r="LVM93" s="704"/>
      <c r="LVN93" s="704"/>
      <c r="LVO93" s="704"/>
      <c r="LVP93" s="704"/>
      <c r="LVQ93" s="704"/>
      <c r="LVR93" s="704"/>
      <c r="LVS93" s="704"/>
      <c r="LVZ93" s="704"/>
      <c r="LWA93" s="704"/>
      <c r="LWB93" s="704"/>
      <c r="LWC93" s="704"/>
      <c r="LWD93" s="704"/>
      <c r="LWE93" s="704"/>
      <c r="LWF93" s="704"/>
      <c r="LWG93" s="704"/>
      <c r="LWH93" s="704"/>
      <c r="LWI93" s="704"/>
      <c r="LWJ93" s="704"/>
      <c r="LWK93" s="704"/>
      <c r="LWL93" s="704"/>
      <c r="LWM93" s="704"/>
      <c r="LWN93" s="704"/>
      <c r="LWO93" s="704"/>
      <c r="LWP93" s="704"/>
      <c r="LWQ93" s="704"/>
      <c r="LWR93" s="704"/>
      <c r="LWS93" s="704"/>
      <c r="LWT93" s="704"/>
      <c r="LWU93" s="704"/>
      <c r="LWV93" s="704"/>
      <c r="LWW93" s="704"/>
      <c r="LWX93" s="704"/>
      <c r="LWY93" s="704"/>
      <c r="LWZ93" s="704"/>
      <c r="LXA93" s="704"/>
      <c r="LXB93" s="704"/>
      <c r="LXC93" s="704"/>
      <c r="LXD93" s="704"/>
      <c r="LXE93" s="704"/>
      <c r="LXF93" s="704"/>
      <c r="LXG93" s="704"/>
      <c r="LXH93" s="704"/>
      <c r="LXI93" s="704"/>
      <c r="LXJ93" s="704"/>
      <c r="LXK93" s="704"/>
      <c r="LXL93" s="704"/>
      <c r="LXM93" s="704"/>
      <c r="LXN93" s="704"/>
      <c r="LXO93" s="704"/>
      <c r="LXP93" s="704"/>
      <c r="LXQ93" s="704"/>
      <c r="LXR93" s="704"/>
      <c r="LXS93" s="704"/>
      <c r="LXT93" s="704"/>
      <c r="LXU93" s="704"/>
      <c r="LXV93" s="704"/>
      <c r="LXW93" s="704"/>
      <c r="LXX93" s="704"/>
      <c r="LXY93" s="704"/>
      <c r="LXZ93" s="704"/>
      <c r="LYA93" s="704"/>
      <c r="LYB93" s="704"/>
      <c r="LYC93" s="704"/>
      <c r="LYD93" s="704"/>
      <c r="LYE93" s="704"/>
      <c r="LYF93" s="704"/>
      <c r="LYG93" s="704"/>
      <c r="LYH93" s="704"/>
      <c r="LYI93" s="704"/>
      <c r="LYJ93" s="704"/>
      <c r="LYK93" s="704"/>
      <c r="LYL93" s="704"/>
      <c r="LYM93" s="704"/>
      <c r="LYN93" s="704"/>
      <c r="LYO93" s="704"/>
      <c r="LYP93" s="704"/>
      <c r="LYQ93" s="704"/>
      <c r="LYR93" s="704"/>
      <c r="LYS93" s="704"/>
      <c r="LYT93" s="704"/>
      <c r="LYU93" s="704"/>
      <c r="LYV93" s="704"/>
      <c r="LYW93" s="704"/>
      <c r="LYX93" s="704"/>
      <c r="LYY93" s="704"/>
      <c r="LYZ93" s="704"/>
      <c r="LZA93" s="704"/>
      <c r="LZB93" s="704"/>
      <c r="LZC93" s="704"/>
      <c r="LZD93" s="704"/>
      <c r="LZE93" s="704"/>
      <c r="LZF93" s="704"/>
      <c r="LZG93" s="704"/>
      <c r="LZH93" s="704"/>
      <c r="LZI93" s="704"/>
      <c r="LZJ93" s="704"/>
      <c r="LZK93" s="704"/>
      <c r="LZL93" s="704"/>
      <c r="LZM93" s="704"/>
      <c r="LZN93" s="704"/>
      <c r="LZO93" s="704"/>
      <c r="LZP93" s="704"/>
      <c r="LZQ93" s="704"/>
      <c r="LZR93" s="704"/>
      <c r="LZS93" s="704"/>
      <c r="LZT93" s="704"/>
      <c r="LZU93" s="704"/>
      <c r="LZV93" s="704"/>
      <c r="LZW93" s="704"/>
      <c r="LZX93" s="704"/>
      <c r="LZY93" s="704"/>
      <c r="LZZ93" s="704"/>
      <c r="MAA93" s="704"/>
      <c r="MAB93" s="704"/>
      <c r="MAC93" s="704"/>
      <c r="MAD93" s="704"/>
      <c r="MAE93" s="704"/>
      <c r="MAF93" s="704"/>
      <c r="MAG93" s="704"/>
      <c r="MAH93" s="704"/>
      <c r="MAI93" s="704"/>
      <c r="MAJ93" s="704"/>
      <c r="MAK93" s="704"/>
      <c r="MAL93" s="704"/>
      <c r="MAM93" s="704"/>
      <c r="MAN93" s="704"/>
      <c r="MAO93" s="704"/>
      <c r="MAP93" s="704"/>
      <c r="MAQ93" s="704"/>
      <c r="MAR93" s="704"/>
      <c r="MAS93" s="704"/>
      <c r="MAT93" s="704"/>
      <c r="MAU93" s="704"/>
      <c r="MAV93" s="704"/>
      <c r="MAW93" s="704"/>
      <c r="MAX93" s="704"/>
      <c r="MAY93" s="704"/>
      <c r="MAZ93" s="704"/>
      <c r="MBA93" s="704"/>
      <c r="MBB93" s="704"/>
      <c r="MBC93" s="704"/>
      <c r="MBD93" s="704"/>
      <c r="MBE93" s="704"/>
      <c r="MBF93" s="704"/>
      <c r="MBG93" s="704"/>
      <c r="MBH93" s="704"/>
      <c r="MBI93" s="704"/>
      <c r="MBJ93" s="704"/>
      <c r="MBK93" s="704"/>
      <c r="MBL93" s="704"/>
      <c r="MBM93" s="704"/>
      <c r="MBN93" s="704"/>
      <c r="MBO93" s="704"/>
      <c r="MBP93" s="704"/>
      <c r="MBQ93" s="704"/>
      <c r="MBR93" s="704"/>
      <c r="MBS93" s="704"/>
      <c r="MBT93" s="704"/>
      <c r="MBU93" s="704"/>
      <c r="MBV93" s="704"/>
      <c r="MBW93" s="704"/>
      <c r="MBX93" s="704"/>
      <c r="MBY93" s="704"/>
      <c r="MBZ93" s="704"/>
      <c r="MCA93" s="704"/>
      <c r="MCB93" s="704"/>
      <c r="MCC93" s="704"/>
      <c r="MCD93" s="704"/>
      <c r="MCE93" s="704"/>
      <c r="MCF93" s="704"/>
      <c r="MCG93" s="704"/>
      <c r="MCH93" s="704"/>
      <c r="MCI93" s="704"/>
      <c r="MCJ93" s="704"/>
      <c r="MCK93" s="704"/>
      <c r="MCL93" s="704"/>
      <c r="MCM93" s="704"/>
      <c r="MCN93" s="704"/>
      <c r="MCO93" s="704"/>
      <c r="MCP93" s="704"/>
      <c r="MCQ93" s="704"/>
      <c r="MCR93" s="704"/>
      <c r="MCS93" s="704"/>
      <c r="MCT93" s="704"/>
      <c r="MCU93" s="704"/>
      <c r="MCV93" s="704"/>
      <c r="MCW93" s="704"/>
      <c r="MCX93" s="704"/>
      <c r="MCY93" s="704"/>
      <c r="MCZ93" s="704"/>
      <c r="MDA93" s="704"/>
      <c r="MDB93" s="704"/>
      <c r="MDC93" s="704"/>
      <c r="MDD93" s="704"/>
      <c r="MDE93" s="704"/>
      <c r="MDF93" s="704"/>
      <c r="MDG93" s="704"/>
      <c r="MDH93" s="704"/>
      <c r="MDI93" s="704"/>
      <c r="MDJ93" s="704"/>
      <c r="MDK93" s="704"/>
      <c r="MDL93" s="704"/>
      <c r="MDM93" s="704"/>
      <c r="MDN93" s="704"/>
      <c r="MDO93" s="704"/>
      <c r="MDP93" s="704"/>
      <c r="MDQ93" s="704"/>
      <c r="MDR93" s="704"/>
      <c r="MDS93" s="704"/>
      <c r="MDT93" s="704"/>
      <c r="MDU93" s="704"/>
      <c r="MDV93" s="704"/>
      <c r="MDW93" s="704"/>
      <c r="MDX93" s="704"/>
      <c r="MDY93" s="704"/>
      <c r="MDZ93" s="704"/>
      <c r="MEA93" s="704"/>
      <c r="MEB93" s="704"/>
      <c r="MEC93" s="704"/>
      <c r="MED93" s="704"/>
      <c r="MEE93" s="704"/>
      <c r="MEF93" s="704"/>
      <c r="MEG93" s="704"/>
      <c r="MEH93" s="704"/>
      <c r="MEI93" s="704"/>
      <c r="MEJ93" s="704"/>
      <c r="MEK93" s="704"/>
      <c r="MEL93" s="704"/>
      <c r="MEM93" s="704"/>
      <c r="MEN93" s="704"/>
      <c r="MEO93" s="704"/>
      <c r="MEP93" s="704"/>
      <c r="MEQ93" s="704"/>
      <c r="MER93" s="704"/>
      <c r="MES93" s="704"/>
      <c r="MET93" s="704"/>
      <c r="MEU93" s="704"/>
      <c r="MEV93" s="704"/>
      <c r="MEW93" s="704"/>
      <c r="MEX93" s="704"/>
      <c r="MEY93" s="704"/>
      <c r="MEZ93" s="704"/>
      <c r="MFA93" s="704"/>
      <c r="MFB93" s="704"/>
      <c r="MFC93" s="704"/>
      <c r="MFD93" s="704"/>
      <c r="MFE93" s="704"/>
      <c r="MFF93" s="704"/>
      <c r="MFG93" s="704"/>
      <c r="MFH93" s="704"/>
      <c r="MFI93" s="704"/>
      <c r="MFJ93" s="704"/>
      <c r="MFK93" s="704"/>
      <c r="MFL93" s="704"/>
      <c r="MFM93" s="704"/>
      <c r="MFN93" s="704"/>
      <c r="MFO93" s="704"/>
      <c r="MFV93" s="704"/>
      <c r="MFW93" s="704"/>
      <c r="MFX93" s="704"/>
      <c r="MFY93" s="704"/>
      <c r="MFZ93" s="704"/>
      <c r="MGA93" s="704"/>
      <c r="MGB93" s="704"/>
      <c r="MGC93" s="704"/>
      <c r="MGD93" s="704"/>
      <c r="MGE93" s="704"/>
      <c r="MGF93" s="704"/>
      <c r="MGG93" s="704"/>
      <c r="MGH93" s="704"/>
      <c r="MGI93" s="704"/>
      <c r="MGJ93" s="704"/>
      <c r="MGK93" s="704"/>
      <c r="MGL93" s="704"/>
      <c r="MGM93" s="704"/>
      <c r="MGN93" s="704"/>
      <c r="MGO93" s="704"/>
      <c r="MGP93" s="704"/>
      <c r="MGQ93" s="704"/>
      <c r="MGR93" s="704"/>
      <c r="MGS93" s="704"/>
      <c r="MGT93" s="704"/>
      <c r="MGU93" s="704"/>
      <c r="MGV93" s="704"/>
      <c r="MGW93" s="704"/>
      <c r="MGX93" s="704"/>
      <c r="MGY93" s="704"/>
      <c r="MGZ93" s="704"/>
      <c r="MHA93" s="704"/>
      <c r="MHB93" s="704"/>
      <c r="MHC93" s="704"/>
      <c r="MHD93" s="704"/>
      <c r="MHE93" s="704"/>
      <c r="MHF93" s="704"/>
      <c r="MHG93" s="704"/>
      <c r="MHH93" s="704"/>
      <c r="MHI93" s="704"/>
      <c r="MHJ93" s="704"/>
      <c r="MHK93" s="704"/>
      <c r="MHL93" s="704"/>
      <c r="MHM93" s="704"/>
      <c r="MHN93" s="704"/>
      <c r="MHO93" s="704"/>
      <c r="MHP93" s="704"/>
      <c r="MHQ93" s="704"/>
      <c r="MHR93" s="704"/>
      <c r="MHS93" s="704"/>
      <c r="MHT93" s="704"/>
      <c r="MHU93" s="704"/>
      <c r="MHV93" s="704"/>
      <c r="MHW93" s="704"/>
      <c r="MHX93" s="704"/>
      <c r="MHY93" s="704"/>
      <c r="MHZ93" s="704"/>
      <c r="MIA93" s="704"/>
      <c r="MIB93" s="704"/>
      <c r="MIC93" s="704"/>
      <c r="MID93" s="704"/>
      <c r="MIE93" s="704"/>
      <c r="MIF93" s="704"/>
      <c r="MIG93" s="704"/>
      <c r="MIH93" s="704"/>
      <c r="MII93" s="704"/>
      <c r="MIJ93" s="704"/>
      <c r="MIK93" s="704"/>
      <c r="MIL93" s="704"/>
      <c r="MIM93" s="704"/>
      <c r="MIN93" s="704"/>
      <c r="MIO93" s="704"/>
      <c r="MIP93" s="704"/>
      <c r="MIQ93" s="704"/>
      <c r="MIR93" s="704"/>
      <c r="MIS93" s="704"/>
      <c r="MIT93" s="704"/>
      <c r="MIU93" s="704"/>
      <c r="MIV93" s="704"/>
      <c r="MIW93" s="704"/>
      <c r="MIX93" s="704"/>
      <c r="MIY93" s="704"/>
      <c r="MIZ93" s="704"/>
      <c r="MJA93" s="704"/>
      <c r="MJB93" s="704"/>
      <c r="MJC93" s="704"/>
      <c r="MJD93" s="704"/>
      <c r="MJE93" s="704"/>
      <c r="MJF93" s="704"/>
      <c r="MJG93" s="704"/>
      <c r="MJH93" s="704"/>
      <c r="MJI93" s="704"/>
      <c r="MJJ93" s="704"/>
      <c r="MJK93" s="704"/>
      <c r="MJL93" s="704"/>
      <c r="MJM93" s="704"/>
      <c r="MJN93" s="704"/>
      <c r="MJO93" s="704"/>
      <c r="MJP93" s="704"/>
      <c r="MJQ93" s="704"/>
      <c r="MJR93" s="704"/>
      <c r="MJS93" s="704"/>
      <c r="MJT93" s="704"/>
      <c r="MJU93" s="704"/>
      <c r="MJV93" s="704"/>
      <c r="MJW93" s="704"/>
      <c r="MJX93" s="704"/>
      <c r="MJY93" s="704"/>
      <c r="MJZ93" s="704"/>
      <c r="MKA93" s="704"/>
      <c r="MKB93" s="704"/>
      <c r="MKC93" s="704"/>
      <c r="MKD93" s="704"/>
      <c r="MKE93" s="704"/>
      <c r="MKF93" s="704"/>
      <c r="MKG93" s="704"/>
      <c r="MKH93" s="704"/>
      <c r="MKI93" s="704"/>
      <c r="MKJ93" s="704"/>
      <c r="MKK93" s="704"/>
      <c r="MKL93" s="704"/>
      <c r="MKM93" s="704"/>
      <c r="MKN93" s="704"/>
      <c r="MKO93" s="704"/>
      <c r="MKP93" s="704"/>
      <c r="MKQ93" s="704"/>
      <c r="MKR93" s="704"/>
      <c r="MKS93" s="704"/>
      <c r="MKT93" s="704"/>
      <c r="MKU93" s="704"/>
      <c r="MKV93" s="704"/>
      <c r="MKW93" s="704"/>
      <c r="MKX93" s="704"/>
      <c r="MKY93" s="704"/>
      <c r="MKZ93" s="704"/>
      <c r="MLA93" s="704"/>
      <c r="MLB93" s="704"/>
      <c r="MLC93" s="704"/>
      <c r="MLD93" s="704"/>
      <c r="MLE93" s="704"/>
      <c r="MLF93" s="704"/>
      <c r="MLG93" s="704"/>
      <c r="MLH93" s="704"/>
      <c r="MLI93" s="704"/>
      <c r="MLJ93" s="704"/>
      <c r="MLK93" s="704"/>
      <c r="MLL93" s="704"/>
      <c r="MLM93" s="704"/>
      <c r="MLN93" s="704"/>
      <c r="MLO93" s="704"/>
      <c r="MLP93" s="704"/>
      <c r="MLQ93" s="704"/>
      <c r="MLR93" s="704"/>
      <c r="MLS93" s="704"/>
      <c r="MLT93" s="704"/>
      <c r="MLU93" s="704"/>
      <c r="MLV93" s="704"/>
      <c r="MLW93" s="704"/>
      <c r="MLX93" s="704"/>
      <c r="MLY93" s="704"/>
      <c r="MLZ93" s="704"/>
      <c r="MMA93" s="704"/>
      <c r="MMB93" s="704"/>
      <c r="MMC93" s="704"/>
      <c r="MMD93" s="704"/>
      <c r="MME93" s="704"/>
      <c r="MMF93" s="704"/>
      <c r="MMG93" s="704"/>
      <c r="MMH93" s="704"/>
      <c r="MMI93" s="704"/>
      <c r="MMJ93" s="704"/>
      <c r="MMK93" s="704"/>
      <c r="MML93" s="704"/>
      <c r="MMM93" s="704"/>
      <c r="MMN93" s="704"/>
      <c r="MMO93" s="704"/>
      <c r="MMP93" s="704"/>
      <c r="MMQ93" s="704"/>
      <c r="MMR93" s="704"/>
      <c r="MMS93" s="704"/>
      <c r="MMT93" s="704"/>
      <c r="MMU93" s="704"/>
      <c r="MMV93" s="704"/>
      <c r="MMW93" s="704"/>
      <c r="MMX93" s="704"/>
      <c r="MMY93" s="704"/>
      <c r="MMZ93" s="704"/>
      <c r="MNA93" s="704"/>
      <c r="MNB93" s="704"/>
      <c r="MNC93" s="704"/>
      <c r="MND93" s="704"/>
      <c r="MNE93" s="704"/>
      <c r="MNF93" s="704"/>
      <c r="MNG93" s="704"/>
      <c r="MNH93" s="704"/>
      <c r="MNI93" s="704"/>
      <c r="MNJ93" s="704"/>
      <c r="MNK93" s="704"/>
      <c r="MNL93" s="704"/>
      <c r="MNM93" s="704"/>
      <c r="MNN93" s="704"/>
      <c r="MNO93" s="704"/>
      <c r="MNP93" s="704"/>
      <c r="MNQ93" s="704"/>
      <c r="MNR93" s="704"/>
      <c r="MNS93" s="704"/>
      <c r="MNT93" s="704"/>
      <c r="MNU93" s="704"/>
      <c r="MNV93" s="704"/>
      <c r="MNW93" s="704"/>
      <c r="MNX93" s="704"/>
      <c r="MNY93" s="704"/>
      <c r="MNZ93" s="704"/>
      <c r="MOA93" s="704"/>
      <c r="MOB93" s="704"/>
      <c r="MOC93" s="704"/>
      <c r="MOD93" s="704"/>
      <c r="MOE93" s="704"/>
      <c r="MOF93" s="704"/>
      <c r="MOG93" s="704"/>
      <c r="MOH93" s="704"/>
      <c r="MOI93" s="704"/>
      <c r="MOJ93" s="704"/>
      <c r="MOK93" s="704"/>
      <c r="MOL93" s="704"/>
      <c r="MOM93" s="704"/>
      <c r="MON93" s="704"/>
      <c r="MOO93" s="704"/>
      <c r="MOP93" s="704"/>
      <c r="MOQ93" s="704"/>
      <c r="MOR93" s="704"/>
      <c r="MOS93" s="704"/>
      <c r="MOT93" s="704"/>
      <c r="MOU93" s="704"/>
      <c r="MOV93" s="704"/>
      <c r="MOW93" s="704"/>
      <c r="MOX93" s="704"/>
      <c r="MOY93" s="704"/>
      <c r="MOZ93" s="704"/>
      <c r="MPA93" s="704"/>
      <c r="MPB93" s="704"/>
      <c r="MPC93" s="704"/>
      <c r="MPD93" s="704"/>
      <c r="MPE93" s="704"/>
      <c r="MPF93" s="704"/>
      <c r="MPG93" s="704"/>
      <c r="MPH93" s="704"/>
      <c r="MPI93" s="704"/>
      <c r="MPJ93" s="704"/>
      <c r="MPK93" s="704"/>
      <c r="MPR93" s="704"/>
      <c r="MPS93" s="704"/>
      <c r="MPT93" s="704"/>
      <c r="MPU93" s="704"/>
      <c r="MPV93" s="704"/>
      <c r="MPW93" s="704"/>
      <c r="MPX93" s="704"/>
      <c r="MPY93" s="704"/>
      <c r="MPZ93" s="704"/>
      <c r="MQA93" s="704"/>
      <c r="MQB93" s="704"/>
      <c r="MQC93" s="704"/>
      <c r="MQD93" s="704"/>
      <c r="MQE93" s="704"/>
      <c r="MQF93" s="704"/>
      <c r="MQG93" s="704"/>
      <c r="MQH93" s="704"/>
      <c r="MQI93" s="704"/>
      <c r="MQJ93" s="704"/>
      <c r="MQK93" s="704"/>
      <c r="MQL93" s="704"/>
      <c r="MQM93" s="704"/>
      <c r="MQN93" s="704"/>
      <c r="MQO93" s="704"/>
      <c r="MQP93" s="704"/>
      <c r="MQQ93" s="704"/>
      <c r="MQR93" s="704"/>
      <c r="MQS93" s="704"/>
      <c r="MQT93" s="704"/>
      <c r="MQU93" s="704"/>
      <c r="MQV93" s="704"/>
      <c r="MQW93" s="704"/>
      <c r="MQX93" s="704"/>
      <c r="MQY93" s="704"/>
      <c r="MQZ93" s="704"/>
      <c r="MRA93" s="704"/>
      <c r="MRB93" s="704"/>
      <c r="MRC93" s="704"/>
      <c r="MRD93" s="704"/>
      <c r="MRE93" s="704"/>
      <c r="MRF93" s="704"/>
      <c r="MRG93" s="704"/>
      <c r="MRH93" s="704"/>
      <c r="MRI93" s="704"/>
      <c r="MRJ93" s="704"/>
      <c r="MRK93" s="704"/>
      <c r="MRL93" s="704"/>
      <c r="MRM93" s="704"/>
      <c r="MRN93" s="704"/>
      <c r="MRO93" s="704"/>
      <c r="MRP93" s="704"/>
      <c r="MRQ93" s="704"/>
      <c r="MRR93" s="704"/>
      <c r="MRS93" s="704"/>
      <c r="MRT93" s="704"/>
      <c r="MRU93" s="704"/>
      <c r="MRV93" s="704"/>
      <c r="MRW93" s="704"/>
      <c r="MRX93" s="704"/>
      <c r="MRY93" s="704"/>
      <c r="MRZ93" s="704"/>
      <c r="MSA93" s="704"/>
      <c r="MSB93" s="704"/>
      <c r="MSC93" s="704"/>
      <c r="MSD93" s="704"/>
      <c r="MSE93" s="704"/>
      <c r="MSF93" s="704"/>
      <c r="MSG93" s="704"/>
      <c r="MSH93" s="704"/>
      <c r="MSI93" s="704"/>
      <c r="MSJ93" s="704"/>
      <c r="MSK93" s="704"/>
      <c r="MSL93" s="704"/>
      <c r="MSM93" s="704"/>
      <c r="MSN93" s="704"/>
      <c r="MSO93" s="704"/>
      <c r="MSP93" s="704"/>
      <c r="MSQ93" s="704"/>
      <c r="MSR93" s="704"/>
      <c r="MSS93" s="704"/>
      <c r="MST93" s="704"/>
      <c r="MSU93" s="704"/>
      <c r="MSV93" s="704"/>
      <c r="MSW93" s="704"/>
      <c r="MSX93" s="704"/>
      <c r="MSY93" s="704"/>
      <c r="MSZ93" s="704"/>
      <c r="MTA93" s="704"/>
      <c r="MTB93" s="704"/>
      <c r="MTC93" s="704"/>
      <c r="MTD93" s="704"/>
      <c r="MTE93" s="704"/>
      <c r="MTF93" s="704"/>
      <c r="MTG93" s="704"/>
      <c r="MTH93" s="704"/>
      <c r="MTI93" s="704"/>
      <c r="MTJ93" s="704"/>
      <c r="MTK93" s="704"/>
      <c r="MTL93" s="704"/>
      <c r="MTM93" s="704"/>
      <c r="MTN93" s="704"/>
      <c r="MTO93" s="704"/>
      <c r="MTP93" s="704"/>
      <c r="MTQ93" s="704"/>
      <c r="MTR93" s="704"/>
      <c r="MTS93" s="704"/>
      <c r="MTT93" s="704"/>
      <c r="MTU93" s="704"/>
      <c r="MTV93" s="704"/>
      <c r="MTW93" s="704"/>
      <c r="MTX93" s="704"/>
      <c r="MTY93" s="704"/>
      <c r="MTZ93" s="704"/>
      <c r="MUA93" s="704"/>
      <c r="MUB93" s="704"/>
      <c r="MUC93" s="704"/>
      <c r="MUD93" s="704"/>
      <c r="MUE93" s="704"/>
      <c r="MUF93" s="704"/>
      <c r="MUG93" s="704"/>
      <c r="MUH93" s="704"/>
      <c r="MUI93" s="704"/>
      <c r="MUJ93" s="704"/>
      <c r="MUK93" s="704"/>
      <c r="MUL93" s="704"/>
      <c r="MUM93" s="704"/>
      <c r="MUN93" s="704"/>
      <c r="MUO93" s="704"/>
      <c r="MUP93" s="704"/>
      <c r="MUQ93" s="704"/>
      <c r="MUR93" s="704"/>
      <c r="MUS93" s="704"/>
      <c r="MUT93" s="704"/>
      <c r="MUU93" s="704"/>
      <c r="MUV93" s="704"/>
      <c r="MUW93" s="704"/>
      <c r="MUX93" s="704"/>
      <c r="MUY93" s="704"/>
      <c r="MUZ93" s="704"/>
      <c r="MVA93" s="704"/>
      <c r="MVB93" s="704"/>
      <c r="MVC93" s="704"/>
      <c r="MVD93" s="704"/>
      <c r="MVE93" s="704"/>
      <c r="MVF93" s="704"/>
      <c r="MVG93" s="704"/>
      <c r="MVH93" s="704"/>
      <c r="MVI93" s="704"/>
      <c r="MVJ93" s="704"/>
      <c r="MVK93" s="704"/>
      <c r="MVL93" s="704"/>
      <c r="MVM93" s="704"/>
      <c r="MVN93" s="704"/>
      <c r="MVO93" s="704"/>
      <c r="MVP93" s="704"/>
      <c r="MVQ93" s="704"/>
      <c r="MVR93" s="704"/>
      <c r="MVS93" s="704"/>
      <c r="MVT93" s="704"/>
      <c r="MVU93" s="704"/>
      <c r="MVV93" s="704"/>
      <c r="MVW93" s="704"/>
      <c r="MVX93" s="704"/>
      <c r="MVY93" s="704"/>
      <c r="MVZ93" s="704"/>
      <c r="MWA93" s="704"/>
      <c r="MWB93" s="704"/>
      <c r="MWC93" s="704"/>
      <c r="MWD93" s="704"/>
      <c r="MWE93" s="704"/>
      <c r="MWF93" s="704"/>
      <c r="MWG93" s="704"/>
      <c r="MWH93" s="704"/>
      <c r="MWI93" s="704"/>
      <c r="MWJ93" s="704"/>
      <c r="MWK93" s="704"/>
      <c r="MWL93" s="704"/>
      <c r="MWM93" s="704"/>
      <c r="MWN93" s="704"/>
      <c r="MWO93" s="704"/>
      <c r="MWP93" s="704"/>
      <c r="MWQ93" s="704"/>
      <c r="MWR93" s="704"/>
      <c r="MWS93" s="704"/>
      <c r="MWT93" s="704"/>
      <c r="MWU93" s="704"/>
      <c r="MWV93" s="704"/>
      <c r="MWW93" s="704"/>
      <c r="MWX93" s="704"/>
      <c r="MWY93" s="704"/>
      <c r="MWZ93" s="704"/>
      <c r="MXA93" s="704"/>
      <c r="MXB93" s="704"/>
      <c r="MXC93" s="704"/>
      <c r="MXD93" s="704"/>
      <c r="MXE93" s="704"/>
      <c r="MXF93" s="704"/>
      <c r="MXG93" s="704"/>
      <c r="MXH93" s="704"/>
      <c r="MXI93" s="704"/>
      <c r="MXJ93" s="704"/>
      <c r="MXK93" s="704"/>
      <c r="MXL93" s="704"/>
      <c r="MXM93" s="704"/>
      <c r="MXN93" s="704"/>
      <c r="MXO93" s="704"/>
      <c r="MXP93" s="704"/>
      <c r="MXQ93" s="704"/>
      <c r="MXR93" s="704"/>
      <c r="MXS93" s="704"/>
      <c r="MXT93" s="704"/>
      <c r="MXU93" s="704"/>
      <c r="MXV93" s="704"/>
      <c r="MXW93" s="704"/>
      <c r="MXX93" s="704"/>
      <c r="MXY93" s="704"/>
      <c r="MXZ93" s="704"/>
      <c r="MYA93" s="704"/>
      <c r="MYB93" s="704"/>
      <c r="MYC93" s="704"/>
      <c r="MYD93" s="704"/>
      <c r="MYE93" s="704"/>
      <c r="MYF93" s="704"/>
      <c r="MYG93" s="704"/>
      <c r="MYH93" s="704"/>
      <c r="MYI93" s="704"/>
      <c r="MYJ93" s="704"/>
      <c r="MYK93" s="704"/>
      <c r="MYL93" s="704"/>
      <c r="MYM93" s="704"/>
      <c r="MYN93" s="704"/>
      <c r="MYO93" s="704"/>
      <c r="MYP93" s="704"/>
      <c r="MYQ93" s="704"/>
      <c r="MYR93" s="704"/>
      <c r="MYS93" s="704"/>
      <c r="MYT93" s="704"/>
      <c r="MYU93" s="704"/>
      <c r="MYV93" s="704"/>
      <c r="MYW93" s="704"/>
      <c r="MYX93" s="704"/>
      <c r="MYY93" s="704"/>
      <c r="MYZ93" s="704"/>
      <c r="MZA93" s="704"/>
      <c r="MZB93" s="704"/>
      <c r="MZC93" s="704"/>
      <c r="MZD93" s="704"/>
      <c r="MZE93" s="704"/>
      <c r="MZF93" s="704"/>
      <c r="MZG93" s="704"/>
      <c r="MZN93" s="704"/>
      <c r="MZO93" s="704"/>
      <c r="MZP93" s="704"/>
      <c r="MZQ93" s="704"/>
      <c r="MZR93" s="704"/>
      <c r="MZS93" s="704"/>
      <c r="MZT93" s="704"/>
      <c r="MZU93" s="704"/>
      <c r="MZV93" s="704"/>
      <c r="MZW93" s="704"/>
      <c r="MZX93" s="704"/>
      <c r="MZY93" s="704"/>
      <c r="MZZ93" s="704"/>
      <c r="NAA93" s="704"/>
      <c r="NAB93" s="704"/>
      <c r="NAC93" s="704"/>
      <c r="NAD93" s="704"/>
      <c r="NAE93" s="704"/>
      <c r="NAF93" s="704"/>
      <c r="NAG93" s="704"/>
      <c r="NAH93" s="704"/>
      <c r="NAI93" s="704"/>
      <c r="NAJ93" s="704"/>
      <c r="NAK93" s="704"/>
      <c r="NAL93" s="704"/>
      <c r="NAM93" s="704"/>
      <c r="NAN93" s="704"/>
      <c r="NAO93" s="704"/>
      <c r="NAP93" s="704"/>
      <c r="NAQ93" s="704"/>
      <c r="NAR93" s="704"/>
      <c r="NAS93" s="704"/>
      <c r="NAT93" s="704"/>
      <c r="NAU93" s="704"/>
      <c r="NAV93" s="704"/>
      <c r="NAW93" s="704"/>
      <c r="NAX93" s="704"/>
      <c r="NAY93" s="704"/>
      <c r="NAZ93" s="704"/>
      <c r="NBA93" s="704"/>
      <c r="NBB93" s="704"/>
      <c r="NBC93" s="704"/>
      <c r="NBD93" s="704"/>
      <c r="NBE93" s="704"/>
      <c r="NBF93" s="704"/>
      <c r="NBG93" s="704"/>
      <c r="NBH93" s="704"/>
      <c r="NBI93" s="704"/>
      <c r="NBJ93" s="704"/>
      <c r="NBK93" s="704"/>
      <c r="NBL93" s="704"/>
      <c r="NBM93" s="704"/>
      <c r="NBN93" s="704"/>
      <c r="NBO93" s="704"/>
      <c r="NBP93" s="704"/>
      <c r="NBQ93" s="704"/>
      <c r="NBR93" s="704"/>
      <c r="NBS93" s="704"/>
      <c r="NBT93" s="704"/>
      <c r="NBU93" s="704"/>
      <c r="NBV93" s="704"/>
      <c r="NBW93" s="704"/>
      <c r="NBX93" s="704"/>
      <c r="NBY93" s="704"/>
      <c r="NBZ93" s="704"/>
      <c r="NCA93" s="704"/>
      <c r="NCB93" s="704"/>
      <c r="NCC93" s="704"/>
      <c r="NCD93" s="704"/>
      <c r="NCE93" s="704"/>
      <c r="NCF93" s="704"/>
      <c r="NCG93" s="704"/>
      <c r="NCH93" s="704"/>
      <c r="NCI93" s="704"/>
      <c r="NCJ93" s="704"/>
      <c r="NCK93" s="704"/>
      <c r="NCL93" s="704"/>
      <c r="NCM93" s="704"/>
      <c r="NCN93" s="704"/>
      <c r="NCO93" s="704"/>
      <c r="NCP93" s="704"/>
      <c r="NCQ93" s="704"/>
      <c r="NCR93" s="704"/>
      <c r="NCS93" s="704"/>
      <c r="NCT93" s="704"/>
      <c r="NCU93" s="704"/>
      <c r="NCV93" s="704"/>
      <c r="NCW93" s="704"/>
      <c r="NCX93" s="704"/>
      <c r="NCY93" s="704"/>
      <c r="NCZ93" s="704"/>
      <c r="NDA93" s="704"/>
      <c r="NDB93" s="704"/>
      <c r="NDC93" s="704"/>
      <c r="NDD93" s="704"/>
      <c r="NDE93" s="704"/>
      <c r="NDF93" s="704"/>
      <c r="NDG93" s="704"/>
      <c r="NDH93" s="704"/>
      <c r="NDI93" s="704"/>
      <c r="NDJ93" s="704"/>
      <c r="NDK93" s="704"/>
      <c r="NDL93" s="704"/>
      <c r="NDM93" s="704"/>
      <c r="NDN93" s="704"/>
      <c r="NDO93" s="704"/>
      <c r="NDP93" s="704"/>
      <c r="NDQ93" s="704"/>
      <c r="NDR93" s="704"/>
      <c r="NDS93" s="704"/>
      <c r="NDT93" s="704"/>
      <c r="NDU93" s="704"/>
      <c r="NDV93" s="704"/>
      <c r="NDW93" s="704"/>
      <c r="NDX93" s="704"/>
      <c r="NDY93" s="704"/>
      <c r="NDZ93" s="704"/>
      <c r="NEA93" s="704"/>
      <c r="NEB93" s="704"/>
      <c r="NEC93" s="704"/>
      <c r="NED93" s="704"/>
      <c r="NEE93" s="704"/>
      <c r="NEF93" s="704"/>
      <c r="NEG93" s="704"/>
      <c r="NEH93" s="704"/>
      <c r="NEI93" s="704"/>
      <c r="NEJ93" s="704"/>
      <c r="NEK93" s="704"/>
      <c r="NEL93" s="704"/>
      <c r="NEM93" s="704"/>
      <c r="NEN93" s="704"/>
      <c r="NEO93" s="704"/>
      <c r="NEP93" s="704"/>
      <c r="NEQ93" s="704"/>
      <c r="NER93" s="704"/>
      <c r="NES93" s="704"/>
      <c r="NET93" s="704"/>
      <c r="NEU93" s="704"/>
      <c r="NEV93" s="704"/>
      <c r="NEW93" s="704"/>
      <c r="NEX93" s="704"/>
      <c r="NEY93" s="704"/>
      <c r="NEZ93" s="704"/>
      <c r="NFA93" s="704"/>
      <c r="NFB93" s="704"/>
      <c r="NFC93" s="704"/>
      <c r="NFD93" s="704"/>
      <c r="NFE93" s="704"/>
      <c r="NFF93" s="704"/>
      <c r="NFG93" s="704"/>
      <c r="NFH93" s="704"/>
      <c r="NFI93" s="704"/>
      <c r="NFJ93" s="704"/>
      <c r="NFK93" s="704"/>
      <c r="NFL93" s="704"/>
      <c r="NFM93" s="704"/>
      <c r="NFN93" s="704"/>
      <c r="NFO93" s="704"/>
      <c r="NFP93" s="704"/>
      <c r="NFQ93" s="704"/>
      <c r="NFR93" s="704"/>
      <c r="NFS93" s="704"/>
      <c r="NFT93" s="704"/>
      <c r="NFU93" s="704"/>
      <c r="NFV93" s="704"/>
      <c r="NFW93" s="704"/>
      <c r="NFX93" s="704"/>
      <c r="NFY93" s="704"/>
      <c r="NFZ93" s="704"/>
      <c r="NGA93" s="704"/>
      <c r="NGB93" s="704"/>
      <c r="NGC93" s="704"/>
      <c r="NGD93" s="704"/>
      <c r="NGE93" s="704"/>
      <c r="NGF93" s="704"/>
      <c r="NGG93" s="704"/>
      <c r="NGH93" s="704"/>
      <c r="NGI93" s="704"/>
      <c r="NGJ93" s="704"/>
      <c r="NGK93" s="704"/>
      <c r="NGL93" s="704"/>
      <c r="NGM93" s="704"/>
      <c r="NGN93" s="704"/>
      <c r="NGO93" s="704"/>
      <c r="NGP93" s="704"/>
      <c r="NGQ93" s="704"/>
      <c r="NGR93" s="704"/>
      <c r="NGS93" s="704"/>
      <c r="NGT93" s="704"/>
      <c r="NGU93" s="704"/>
      <c r="NGV93" s="704"/>
      <c r="NGW93" s="704"/>
      <c r="NGX93" s="704"/>
      <c r="NGY93" s="704"/>
      <c r="NGZ93" s="704"/>
      <c r="NHA93" s="704"/>
      <c r="NHB93" s="704"/>
      <c r="NHC93" s="704"/>
      <c r="NHD93" s="704"/>
      <c r="NHE93" s="704"/>
      <c r="NHF93" s="704"/>
      <c r="NHG93" s="704"/>
      <c r="NHH93" s="704"/>
      <c r="NHI93" s="704"/>
      <c r="NHJ93" s="704"/>
      <c r="NHK93" s="704"/>
      <c r="NHL93" s="704"/>
      <c r="NHM93" s="704"/>
      <c r="NHN93" s="704"/>
      <c r="NHO93" s="704"/>
      <c r="NHP93" s="704"/>
      <c r="NHQ93" s="704"/>
      <c r="NHR93" s="704"/>
      <c r="NHS93" s="704"/>
      <c r="NHT93" s="704"/>
      <c r="NHU93" s="704"/>
      <c r="NHV93" s="704"/>
      <c r="NHW93" s="704"/>
      <c r="NHX93" s="704"/>
      <c r="NHY93" s="704"/>
      <c r="NHZ93" s="704"/>
      <c r="NIA93" s="704"/>
      <c r="NIB93" s="704"/>
      <c r="NIC93" s="704"/>
      <c r="NID93" s="704"/>
      <c r="NIE93" s="704"/>
      <c r="NIF93" s="704"/>
      <c r="NIG93" s="704"/>
      <c r="NIH93" s="704"/>
      <c r="NII93" s="704"/>
      <c r="NIJ93" s="704"/>
      <c r="NIK93" s="704"/>
      <c r="NIL93" s="704"/>
      <c r="NIM93" s="704"/>
      <c r="NIN93" s="704"/>
      <c r="NIO93" s="704"/>
      <c r="NIP93" s="704"/>
      <c r="NIQ93" s="704"/>
      <c r="NIR93" s="704"/>
      <c r="NIS93" s="704"/>
      <c r="NIT93" s="704"/>
      <c r="NIU93" s="704"/>
      <c r="NIV93" s="704"/>
      <c r="NIW93" s="704"/>
      <c r="NIX93" s="704"/>
      <c r="NIY93" s="704"/>
      <c r="NIZ93" s="704"/>
      <c r="NJA93" s="704"/>
      <c r="NJB93" s="704"/>
      <c r="NJC93" s="704"/>
      <c r="NJJ93" s="704"/>
      <c r="NJK93" s="704"/>
      <c r="NJL93" s="704"/>
      <c r="NJM93" s="704"/>
      <c r="NJN93" s="704"/>
      <c r="NJO93" s="704"/>
      <c r="NJP93" s="704"/>
      <c r="NJQ93" s="704"/>
      <c r="NJR93" s="704"/>
      <c r="NJS93" s="704"/>
      <c r="NJT93" s="704"/>
      <c r="NJU93" s="704"/>
      <c r="NJV93" s="704"/>
      <c r="NJW93" s="704"/>
      <c r="NJX93" s="704"/>
      <c r="NJY93" s="704"/>
      <c r="NJZ93" s="704"/>
      <c r="NKA93" s="704"/>
      <c r="NKB93" s="704"/>
      <c r="NKC93" s="704"/>
      <c r="NKD93" s="704"/>
      <c r="NKE93" s="704"/>
      <c r="NKF93" s="704"/>
      <c r="NKG93" s="704"/>
      <c r="NKH93" s="704"/>
      <c r="NKI93" s="704"/>
      <c r="NKJ93" s="704"/>
      <c r="NKK93" s="704"/>
      <c r="NKL93" s="704"/>
      <c r="NKM93" s="704"/>
      <c r="NKN93" s="704"/>
      <c r="NKO93" s="704"/>
      <c r="NKP93" s="704"/>
      <c r="NKQ93" s="704"/>
      <c r="NKR93" s="704"/>
      <c r="NKS93" s="704"/>
      <c r="NKT93" s="704"/>
      <c r="NKU93" s="704"/>
      <c r="NKV93" s="704"/>
      <c r="NKW93" s="704"/>
      <c r="NKX93" s="704"/>
      <c r="NKY93" s="704"/>
      <c r="NKZ93" s="704"/>
      <c r="NLA93" s="704"/>
      <c r="NLB93" s="704"/>
      <c r="NLC93" s="704"/>
      <c r="NLD93" s="704"/>
      <c r="NLE93" s="704"/>
      <c r="NLF93" s="704"/>
      <c r="NLG93" s="704"/>
      <c r="NLH93" s="704"/>
      <c r="NLI93" s="704"/>
      <c r="NLJ93" s="704"/>
      <c r="NLK93" s="704"/>
      <c r="NLL93" s="704"/>
      <c r="NLM93" s="704"/>
      <c r="NLN93" s="704"/>
      <c r="NLO93" s="704"/>
      <c r="NLP93" s="704"/>
      <c r="NLQ93" s="704"/>
      <c r="NLR93" s="704"/>
      <c r="NLS93" s="704"/>
      <c r="NLT93" s="704"/>
      <c r="NLU93" s="704"/>
      <c r="NLV93" s="704"/>
      <c r="NLW93" s="704"/>
      <c r="NLX93" s="704"/>
      <c r="NLY93" s="704"/>
      <c r="NLZ93" s="704"/>
      <c r="NMA93" s="704"/>
      <c r="NMB93" s="704"/>
      <c r="NMC93" s="704"/>
      <c r="NMD93" s="704"/>
      <c r="NME93" s="704"/>
      <c r="NMF93" s="704"/>
      <c r="NMG93" s="704"/>
      <c r="NMH93" s="704"/>
      <c r="NMI93" s="704"/>
      <c r="NMJ93" s="704"/>
      <c r="NMK93" s="704"/>
      <c r="NML93" s="704"/>
      <c r="NMM93" s="704"/>
      <c r="NMN93" s="704"/>
      <c r="NMO93" s="704"/>
      <c r="NMP93" s="704"/>
      <c r="NMQ93" s="704"/>
      <c r="NMR93" s="704"/>
      <c r="NMS93" s="704"/>
      <c r="NMT93" s="704"/>
      <c r="NMU93" s="704"/>
      <c r="NMV93" s="704"/>
      <c r="NMW93" s="704"/>
      <c r="NMX93" s="704"/>
      <c r="NMY93" s="704"/>
      <c r="NMZ93" s="704"/>
      <c r="NNA93" s="704"/>
      <c r="NNB93" s="704"/>
      <c r="NNC93" s="704"/>
      <c r="NND93" s="704"/>
      <c r="NNE93" s="704"/>
      <c r="NNF93" s="704"/>
      <c r="NNG93" s="704"/>
      <c r="NNH93" s="704"/>
      <c r="NNI93" s="704"/>
      <c r="NNJ93" s="704"/>
      <c r="NNK93" s="704"/>
      <c r="NNL93" s="704"/>
      <c r="NNM93" s="704"/>
      <c r="NNN93" s="704"/>
      <c r="NNO93" s="704"/>
      <c r="NNP93" s="704"/>
      <c r="NNQ93" s="704"/>
      <c r="NNR93" s="704"/>
      <c r="NNS93" s="704"/>
      <c r="NNT93" s="704"/>
      <c r="NNU93" s="704"/>
      <c r="NNV93" s="704"/>
      <c r="NNW93" s="704"/>
      <c r="NNX93" s="704"/>
      <c r="NNY93" s="704"/>
      <c r="NNZ93" s="704"/>
      <c r="NOA93" s="704"/>
      <c r="NOB93" s="704"/>
      <c r="NOC93" s="704"/>
      <c r="NOD93" s="704"/>
      <c r="NOE93" s="704"/>
      <c r="NOF93" s="704"/>
      <c r="NOG93" s="704"/>
      <c r="NOH93" s="704"/>
      <c r="NOI93" s="704"/>
      <c r="NOJ93" s="704"/>
      <c r="NOK93" s="704"/>
      <c r="NOL93" s="704"/>
      <c r="NOM93" s="704"/>
      <c r="NON93" s="704"/>
      <c r="NOO93" s="704"/>
      <c r="NOP93" s="704"/>
      <c r="NOQ93" s="704"/>
      <c r="NOR93" s="704"/>
      <c r="NOS93" s="704"/>
      <c r="NOT93" s="704"/>
      <c r="NOU93" s="704"/>
      <c r="NOV93" s="704"/>
      <c r="NOW93" s="704"/>
      <c r="NOX93" s="704"/>
      <c r="NOY93" s="704"/>
      <c r="NOZ93" s="704"/>
      <c r="NPA93" s="704"/>
      <c r="NPB93" s="704"/>
      <c r="NPC93" s="704"/>
      <c r="NPD93" s="704"/>
      <c r="NPE93" s="704"/>
      <c r="NPF93" s="704"/>
      <c r="NPG93" s="704"/>
      <c r="NPH93" s="704"/>
      <c r="NPI93" s="704"/>
      <c r="NPJ93" s="704"/>
      <c r="NPK93" s="704"/>
      <c r="NPL93" s="704"/>
      <c r="NPM93" s="704"/>
      <c r="NPN93" s="704"/>
      <c r="NPO93" s="704"/>
      <c r="NPP93" s="704"/>
      <c r="NPQ93" s="704"/>
      <c r="NPR93" s="704"/>
      <c r="NPS93" s="704"/>
      <c r="NPT93" s="704"/>
      <c r="NPU93" s="704"/>
      <c r="NPV93" s="704"/>
      <c r="NPW93" s="704"/>
      <c r="NPX93" s="704"/>
      <c r="NPY93" s="704"/>
      <c r="NPZ93" s="704"/>
      <c r="NQA93" s="704"/>
      <c r="NQB93" s="704"/>
      <c r="NQC93" s="704"/>
      <c r="NQD93" s="704"/>
      <c r="NQE93" s="704"/>
      <c r="NQF93" s="704"/>
      <c r="NQG93" s="704"/>
      <c r="NQH93" s="704"/>
      <c r="NQI93" s="704"/>
      <c r="NQJ93" s="704"/>
      <c r="NQK93" s="704"/>
      <c r="NQL93" s="704"/>
      <c r="NQM93" s="704"/>
      <c r="NQN93" s="704"/>
      <c r="NQO93" s="704"/>
      <c r="NQP93" s="704"/>
      <c r="NQQ93" s="704"/>
      <c r="NQR93" s="704"/>
      <c r="NQS93" s="704"/>
      <c r="NQT93" s="704"/>
      <c r="NQU93" s="704"/>
      <c r="NQV93" s="704"/>
      <c r="NQW93" s="704"/>
      <c r="NQX93" s="704"/>
      <c r="NQY93" s="704"/>
      <c r="NQZ93" s="704"/>
      <c r="NRA93" s="704"/>
      <c r="NRB93" s="704"/>
      <c r="NRC93" s="704"/>
      <c r="NRD93" s="704"/>
      <c r="NRE93" s="704"/>
      <c r="NRF93" s="704"/>
      <c r="NRG93" s="704"/>
      <c r="NRH93" s="704"/>
      <c r="NRI93" s="704"/>
      <c r="NRJ93" s="704"/>
      <c r="NRK93" s="704"/>
      <c r="NRL93" s="704"/>
      <c r="NRM93" s="704"/>
      <c r="NRN93" s="704"/>
      <c r="NRO93" s="704"/>
      <c r="NRP93" s="704"/>
      <c r="NRQ93" s="704"/>
      <c r="NRR93" s="704"/>
      <c r="NRS93" s="704"/>
      <c r="NRT93" s="704"/>
      <c r="NRU93" s="704"/>
      <c r="NRV93" s="704"/>
      <c r="NRW93" s="704"/>
      <c r="NRX93" s="704"/>
      <c r="NRY93" s="704"/>
      <c r="NRZ93" s="704"/>
      <c r="NSA93" s="704"/>
      <c r="NSB93" s="704"/>
      <c r="NSC93" s="704"/>
      <c r="NSD93" s="704"/>
      <c r="NSE93" s="704"/>
      <c r="NSF93" s="704"/>
      <c r="NSG93" s="704"/>
      <c r="NSH93" s="704"/>
      <c r="NSI93" s="704"/>
      <c r="NSJ93" s="704"/>
      <c r="NSK93" s="704"/>
      <c r="NSL93" s="704"/>
      <c r="NSM93" s="704"/>
      <c r="NSN93" s="704"/>
      <c r="NSO93" s="704"/>
      <c r="NSP93" s="704"/>
      <c r="NSQ93" s="704"/>
      <c r="NSR93" s="704"/>
      <c r="NSS93" s="704"/>
      <c r="NST93" s="704"/>
      <c r="NSU93" s="704"/>
      <c r="NSV93" s="704"/>
      <c r="NSW93" s="704"/>
      <c r="NSX93" s="704"/>
      <c r="NSY93" s="704"/>
      <c r="NTF93" s="704"/>
      <c r="NTG93" s="704"/>
      <c r="NTH93" s="704"/>
      <c r="NTI93" s="704"/>
      <c r="NTJ93" s="704"/>
      <c r="NTK93" s="704"/>
      <c r="NTL93" s="704"/>
      <c r="NTM93" s="704"/>
      <c r="NTN93" s="704"/>
      <c r="NTO93" s="704"/>
      <c r="NTP93" s="704"/>
      <c r="NTQ93" s="704"/>
      <c r="NTR93" s="704"/>
      <c r="NTS93" s="704"/>
      <c r="NTT93" s="704"/>
      <c r="NTU93" s="704"/>
      <c r="NTV93" s="704"/>
      <c r="NTW93" s="704"/>
      <c r="NTX93" s="704"/>
      <c r="NTY93" s="704"/>
      <c r="NTZ93" s="704"/>
      <c r="NUA93" s="704"/>
      <c r="NUB93" s="704"/>
      <c r="NUC93" s="704"/>
      <c r="NUD93" s="704"/>
      <c r="NUE93" s="704"/>
      <c r="NUF93" s="704"/>
      <c r="NUG93" s="704"/>
      <c r="NUH93" s="704"/>
      <c r="NUI93" s="704"/>
      <c r="NUJ93" s="704"/>
      <c r="NUK93" s="704"/>
      <c r="NUL93" s="704"/>
      <c r="NUM93" s="704"/>
      <c r="NUN93" s="704"/>
      <c r="NUO93" s="704"/>
      <c r="NUP93" s="704"/>
      <c r="NUQ93" s="704"/>
      <c r="NUR93" s="704"/>
      <c r="NUS93" s="704"/>
      <c r="NUT93" s="704"/>
      <c r="NUU93" s="704"/>
      <c r="NUV93" s="704"/>
      <c r="NUW93" s="704"/>
      <c r="NUX93" s="704"/>
      <c r="NUY93" s="704"/>
      <c r="NUZ93" s="704"/>
      <c r="NVA93" s="704"/>
      <c r="NVB93" s="704"/>
      <c r="NVC93" s="704"/>
      <c r="NVD93" s="704"/>
      <c r="NVE93" s="704"/>
      <c r="NVF93" s="704"/>
      <c r="NVG93" s="704"/>
      <c r="NVH93" s="704"/>
      <c r="NVI93" s="704"/>
      <c r="NVJ93" s="704"/>
      <c r="NVK93" s="704"/>
      <c r="NVL93" s="704"/>
      <c r="NVM93" s="704"/>
      <c r="NVN93" s="704"/>
      <c r="NVO93" s="704"/>
      <c r="NVP93" s="704"/>
      <c r="NVQ93" s="704"/>
      <c r="NVR93" s="704"/>
      <c r="NVS93" s="704"/>
      <c r="NVT93" s="704"/>
      <c r="NVU93" s="704"/>
      <c r="NVV93" s="704"/>
      <c r="NVW93" s="704"/>
      <c r="NVX93" s="704"/>
      <c r="NVY93" s="704"/>
      <c r="NVZ93" s="704"/>
      <c r="NWA93" s="704"/>
      <c r="NWB93" s="704"/>
      <c r="NWC93" s="704"/>
      <c r="NWD93" s="704"/>
      <c r="NWE93" s="704"/>
      <c r="NWF93" s="704"/>
      <c r="NWG93" s="704"/>
      <c r="NWH93" s="704"/>
      <c r="NWI93" s="704"/>
      <c r="NWJ93" s="704"/>
      <c r="NWK93" s="704"/>
      <c r="NWL93" s="704"/>
      <c r="NWM93" s="704"/>
      <c r="NWN93" s="704"/>
      <c r="NWO93" s="704"/>
      <c r="NWP93" s="704"/>
      <c r="NWQ93" s="704"/>
      <c r="NWR93" s="704"/>
      <c r="NWS93" s="704"/>
      <c r="NWT93" s="704"/>
      <c r="NWU93" s="704"/>
      <c r="NWV93" s="704"/>
      <c r="NWW93" s="704"/>
      <c r="NWX93" s="704"/>
      <c r="NWY93" s="704"/>
      <c r="NWZ93" s="704"/>
      <c r="NXA93" s="704"/>
      <c r="NXB93" s="704"/>
      <c r="NXC93" s="704"/>
      <c r="NXD93" s="704"/>
      <c r="NXE93" s="704"/>
      <c r="NXF93" s="704"/>
      <c r="NXG93" s="704"/>
      <c r="NXH93" s="704"/>
      <c r="NXI93" s="704"/>
      <c r="NXJ93" s="704"/>
      <c r="NXK93" s="704"/>
      <c r="NXL93" s="704"/>
      <c r="NXM93" s="704"/>
      <c r="NXN93" s="704"/>
      <c r="NXO93" s="704"/>
      <c r="NXP93" s="704"/>
      <c r="NXQ93" s="704"/>
      <c r="NXR93" s="704"/>
      <c r="NXS93" s="704"/>
      <c r="NXT93" s="704"/>
      <c r="NXU93" s="704"/>
      <c r="NXV93" s="704"/>
      <c r="NXW93" s="704"/>
      <c r="NXX93" s="704"/>
      <c r="NXY93" s="704"/>
      <c r="NXZ93" s="704"/>
      <c r="NYA93" s="704"/>
      <c r="NYB93" s="704"/>
      <c r="NYC93" s="704"/>
      <c r="NYD93" s="704"/>
      <c r="NYE93" s="704"/>
      <c r="NYF93" s="704"/>
      <c r="NYG93" s="704"/>
      <c r="NYH93" s="704"/>
      <c r="NYI93" s="704"/>
      <c r="NYJ93" s="704"/>
      <c r="NYK93" s="704"/>
      <c r="NYL93" s="704"/>
      <c r="NYM93" s="704"/>
      <c r="NYN93" s="704"/>
      <c r="NYO93" s="704"/>
      <c r="NYP93" s="704"/>
      <c r="NYQ93" s="704"/>
      <c r="NYR93" s="704"/>
      <c r="NYS93" s="704"/>
      <c r="NYT93" s="704"/>
      <c r="NYU93" s="704"/>
      <c r="NYV93" s="704"/>
      <c r="NYW93" s="704"/>
      <c r="NYX93" s="704"/>
      <c r="NYY93" s="704"/>
      <c r="NYZ93" s="704"/>
      <c r="NZA93" s="704"/>
      <c r="NZB93" s="704"/>
      <c r="NZC93" s="704"/>
      <c r="NZD93" s="704"/>
      <c r="NZE93" s="704"/>
      <c r="NZF93" s="704"/>
      <c r="NZG93" s="704"/>
      <c r="NZH93" s="704"/>
      <c r="NZI93" s="704"/>
      <c r="NZJ93" s="704"/>
      <c r="NZK93" s="704"/>
      <c r="NZL93" s="704"/>
      <c r="NZM93" s="704"/>
      <c r="NZN93" s="704"/>
      <c r="NZO93" s="704"/>
      <c r="NZP93" s="704"/>
      <c r="NZQ93" s="704"/>
      <c r="NZR93" s="704"/>
      <c r="NZS93" s="704"/>
      <c r="NZT93" s="704"/>
      <c r="NZU93" s="704"/>
      <c r="NZV93" s="704"/>
      <c r="NZW93" s="704"/>
      <c r="NZX93" s="704"/>
      <c r="NZY93" s="704"/>
      <c r="NZZ93" s="704"/>
      <c r="OAA93" s="704"/>
      <c r="OAB93" s="704"/>
      <c r="OAC93" s="704"/>
      <c r="OAD93" s="704"/>
      <c r="OAE93" s="704"/>
      <c r="OAF93" s="704"/>
      <c r="OAG93" s="704"/>
      <c r="OAH93" s="704"/>
      <c r="OAI93" s="704"/>
      <c r="OAJ93" s="704"/>
      <c r="OAK93" s="704"/>
      <c r="OAL93" s="704"/>
      <c r="OAM93" s="704"/>
      <c r="OAN93" s="704"/>
      <c r="OAO93" s="704"/>
      <c r="OAP93" s="704"/>
      <c r="OAQ93" s="704"/>
      <c r="OAR93" s="704"/>
      <c r="OAS93" s="704"/>
      <c r="OAT93" s="704"/>
      <c r="OAU93" s="704"/>
      <c r="OAV93" s="704"/>
      <c r="OAW93" s="704"/>
      <c r="OAX93" s="704"/>
      <c r="OAY93" s="704"/>
      <c r="OAZ93" s="704"/>
      <c r="OBA93" s="704"/>
      <c r="OBB93" s="704"/>
      <c r="OBC93" s="704"/>
      <c r="OBD93" s="704"/>
      <c r="OBE93" s="704"/>
      <c r="OBF93" s="704"/>
      <c r="OBG93" s="704"/>
      <c r="OBH93" s="704"/>
      <c r="OBI93" s="704"/>
      <c r="OBJ93" s="704"/>
      <c r="OBK93" s="704"/>
      <c r="OBL93" s="704"/>
      <c r="OBM93" s="704"/>
      <c r="OBN93" s="704"/>
      <c r="OBO93" s="704"/>
      <c r="OBP93" s="704"/>
      <c r="OBQ93" s="704"/>
      <c r="OBR93" s="704"/>
      <c r="OBS93" s="704"/>
      <c r="OBT93" s="704"/>
      <c r="OBU93" s="704"/>
      <c r="OBV93" s="704"/>
      <c r="OBW93" s="704"/>
      <c r="OBX93" s="704"/>
      <c r="OBY93" s="704"/>
      <c r="OBZ93" s="704"/>
      <c r="OCA93" s="704"/>
      <c r="OCB93" s="704"/>
      <c r="OCC93" s="704"/>
      <c r="OCD93" s="704"/>
      <c r="OCE93" s="704"/>
      <c r="OCF93" s="704"/>
      <c r="OCG93" s="704"/>
      <c r="OCH93" s="704"/>
      <c r="OCI93" s="704"/>
      <c r="OCJ93" s="704"/>
      <c r="OCK93" s="704"/>
      <c r="OCL93" s="704"/>
      <c r="OCM93" s="704"/>
      <c r="OCN93" s="704"/>
      <c r="OCO93" s="704"/>
      <c r="OCP93" s="704"/>
      <c r="OCQ93" s="704"/>
      <c r="OCR93" s="704"/>
      <c r="OCS93" s="704"/>
      <c r="OCT93" s="704"/>
      <c r="OCU93" s="704"/>
      <c r="ODB93" s="704"/>
      <c r="ODC93" s="704"/>
      <c r="ODD93" s="704"/>
      <c r="ODE93" s="704"/>
      <c r="ODF93" s="704"/>
      <c r="ODG93" s="704"/>
      <c r="ODH93" s="704"/>
      <c r="ODI93" s="704"/>
      <c r="ODJ93" s="704"/>
      <c r="ODK93" s="704"/>
      <c r="ODL93" s="704"/>
      <c r="ODM93" s="704"/>
      <c r="ODN93" s="704"/>
      <c r="ODO93" s="704"/>
      <c r="ODP93" s="704"/>
      <c r="ODQ93" s="704"/>
      <c r="ODR93" s="704"/>
      <c r="ODS93" s="704"/>
      <c r="ODT93" s="704"/>
      <c r="ODU93" s="704"/>
      <c r="ODV93" s="704"/>
      <c r="ODW93" s="704"/>
      <c r="ODX93" s="704"/>
      <c r="ODY93" s="704"/>
      <c r="ODZ93" s="704"/>
      <c r="OEA93" s="704"/>
      <c r="OEB93" s="704"/>
      <c r="OEC93" s="704"/>
      <c r="OED93" s="704"/>
      <c r="OEE93" s="704"/>
      <c r="OEF93" s="704"/>
      <c r="OEG93" s="704"/>
      <c r="OEH93" s="704"/>
      <c r="OEI93" s="704"/>
      <c r="OEJ93" s="704"/>
      <c r="OEK93" s="704"/>
      <c r="OEL93" s="704"/>
      <c r="OEM93" s="704"/>
      <c r="OEN93" s="704"/>
      <c r="OEO93" s="704"/>
      <c r="OEP93" s="704"/>
      <c r="OEQ93" s="704"/>
      <c r="OER93" s="704"/>
      <c r="OES93" s="704"/>
      <c r="OET93" s="704"/>
      <c r="OEU93" s="704"/>
      <c r="OEV93" s="704"/>
      <c r="OEW93" s="704"/>
      <c r="OEX93" s="704"/>
      <c r="OEY93" s="704"/>
      <c r="OEZ93" s="704"/>
      <c r="OFA93" s="704"/>
      <c r="OFB93" s="704"/>
      <c r="OFC93" s="704"/>
      <c r="OFD93" s="704"/>
      <c r="OFE93" s="704"/>
      <c r="OFF93" s="704"/>
      <c r="OFG93" s="704"/>
      <c r="OFH93" s="704"/>
      <c r="OFI93" s="704"/>
      <c r="OFJ93" s="704"/>
      <c r="OFK93" s="704"/>
      <c r="OFL93" s="704"/>
      <c r="OFM93" s="704"/>
      <c r="OFN93" s="704"/>
      <c r="OFO93" s="704"/>
      <c r="OFP93" s="704"/>
      <c r="OFQ93" s="704"/>
      <c r="OFR93" s="704"/>
      <c r="OFS93" s="704"/>
      <c r="OFT93" s="704"/>
      <c r="OFU93" s="704"/>
      <c r="OFV93" s="704"/>
      <c r="OFW93" s="704"/>
      <c r="OFX93" s="704"/>
      <c r="OFY93" s="704"/>
      <c r="OFZ93" s="704"/>
      <c r="OGA93" s="704"/>
      <c r="OGB93" s="704"/>
      <c r="OGC93" s="704"/>
      <c r="OGD93" s="704"/>
      <c r="OGE93" s="704"/>
      <c r="OGF93" s="704"/>
      <c r="OGG93" s="704"/>
      <c r="OGH93" s="704"/>
      <c r="OGI93" s="704"/>
      <c r="OGJ93" s="704"/>
      <c r="OGK93" s="704"/>
      <c r="OGL93" s="704"/>
      <c r="OGM93" s="704"/>
      <c r="OGN93" s="704"/>
      <c r="OGO93" s="704"/>
      <c r="OGP93" s="704"/>
      <c r="OGQ93" s="704"/>
      <c r="OGR93" s="704"/>
      <c r="OGS93" s="704"/>
      <c r="OGT93" s="704"/>
      <c r="OGU93" s="704"/>
      <c r="OGV93" s="704"/>
      <c r="OGW93" s="704"/>
      <c r="OGX93" s="704"/>
      <c r="OGY93" s="704"/>
      <c r="OGZ93" s="704"/>
      <c r="OHA93" s="704"/>
      <c r="OHB93" s="704"/>
      <c r="OHC93" s="704"/>
      <c r="OHD93" s="704"/>
      <c r="OHE93" s="704"/>
      <c r="OHF93" s="704"/>
      <c r="OHG93" s="704"/>
      <c r="OHH93" s="704"/>
      <c r="OHI93" s="704"/>
      <c r="OHJ93" s="704"/>
      <c r="OHK93" s="704"/>
      <c r="OHL93" s="704"/>
      <c r="OHM93" s="704"/>
      <c r="OHN93" s="704"/>
      <c r="OHO93" s="704"/>
      <c r="OHP93" s="704"/>
      <c r="OHQ93" s="704"/>
      <c r="OHR93" s="704"/>
      <c r="OHS93" s="704"/>
      <c r="OHT93" s="704"/>
      <c r="OHU93" s="704"/>
      <c r="OHV93" s="704"/>
      <c r="OHW93" s="704"/>
      <c r="OHX93" s="704"/>
      <c r="OHY93" s="704"/>
      <c r="OHZ93" s="704"/>
      <c r="OIA93" s="704"/>
      <c r="OIB93" s="704"/>
      <c r="OIC93" s="704"/>
      <c r="OID93" s="704"/>
      <c r="OIE93" s="704"/>
      <c r="OIF93" s="704"/>
      <c r="OIG93" s="704"/>
      <c r="OIH93" s="704"/>
      <c r="OII93" s="704"/>
      <c r="OIJ93" s="704"/>
      <c r="OIK93" s="704"/>
      <c r="OIL93" s="704"/>
      <c r="OIM93" s="704"/>
      <c r="OIN93" s="704"/>
      <c r="OIO93" s="704"/>
      <c r="OIP93" s="704"/>
      <c r="OIQ93" s="704"/>
      <c r="OIR93" s="704"/>
      <c r="OIS93" s="704"/>
      <c r="OIT93" s="704"/>
      <c r="OIU93" s="704"/>
      <c r="OIV93" s="704"/>
      <c r="OIW93" s="704"/>
      <c r="OIX93" s="704"/>
      <c r="OIY93" s="704"/>
      <c r="OIZ93" s="704"/>
      <c r="OJA93" s="704"/>
      <c r="OJB93" s="704"/>
      <c r="OJC93" s="704"/>
      <c r="OJD93" s="704"/>
      <c r="OJE93" s="704"/>
      <c r="OJF93" s="704"/>
      <c r="OJG93" s="704"/>
      <c r="OJH93" s="704"/>
      <c r="OJI93" s="704"/>
      <c r="OJJ93" s="704"/>
      <c r="OJK93" s="704"/>
      <c r="OJL93" s="704"/>
      <c r="OJM93" s="704"/>
      <c r="OJN93" s="704"/>
      <c r="OJO93" s="704"/>
      <c r="OJP93" s="704"/>
      <c r="OJQ93" s="704"/>
      <c r="OJR93" s="704"/>
      <c r="OJS93" s="704"/>
      <c r="OJT93" s="704"/>
      <c r="OJU93" s="704"/>
      <c r="OJV93" s="704"/>
      <c r="OJW93" s="704"/>
      <c r="OJX93" s="704"/>
      <c r="OJY93" s="704"/>
      <c r="OJZ93" s="704"/>
      <c r="OKA93" s="704"/>
      <c r="OKB93" s="704"/>
      <c r="OKC93" s="704"/>
      <c r="OKD93" s="704"/>
      <c r="OKE93" s="704"/>
      <c r="OKF93" s="704"/>
      <c r="OKG93" s="704"/>
      <c r="OKH93" s="704"/>
      <c r="OKI93" s="704"/>
      <c r="OKJ93" s="704"/>
      <c r="OKK93" s="704"/>
      <c r="OKL93" s="704"/>
      <c r="OKM93" s="704"/>
      <c r="OKN93" s="704"/>
      <c r="OKO93" s="704"/>
      <c r="OKP93" s="704"/>
      <c r="OKQ93" s="704"/>
      <c r="OKR93" s="704"/>
      <c r="OKS93" s="704"/>
      <c r="OKT93" s="704"/>
      <c r="OKU93" s="704"/>
      <c r="OKV93" s="704"/>
      <c r="OKW93" s="704"/>
      <c r="OKX93" s="704"/>
      <c r="OKY93" s="704"/>
      <c r="OKZ93" s="704"/>
      <c r="OLA93" s="704"/>
      <c r="OLB93" s="704"/>
      <c r="OLC93" s="704"/>
      <c r="OLD93" s="704"/>
      <c r="OLE93" s="704"/>
      <c r="OLF93" s="704"/>
      <c r="OLG93" s="704"/>
      <c r="OLH93" s="704"/>
      <c r="OLI93" s="704"/>
      <c r="OLJ93" s="704"/>
      <c r="OLK93" s="704"/>
      <c r="OLL93" s="704"/>
      <c r="OLM93" s="704"/>
      <c r="OLN93" s="704"/>
      <c r="OLO93" s="704"/>
      <c r="OLP93" s="704"/>
      <c r="OLQ93" s="704"/>
      <c r="OLR93" s="704"/>
      <c r="OLS93" s="704"/>
      <c r="OLT93" s="704"/>
      <c r="OLU93" s="704"/>
      <c r="OLV93" s="704"/>
      <c r="OLW93" s="704"/>
      <c r="OLX93" s="704"/>
      <c r="OLY93" s="704"/>
      <c r="OLZ93" s="704"/>
      <c r="OMA93" s="704"/>
      <c r="OMB93" s="704"/>
      <c r="OMC93" s="704"/>
      <c r="OMD93" s="704"/>
      <c r="OME93" s="704"/>
      <c r="OMF93" s="704"/>
      <c r="OMG93" s="704"/>
      <c r="OMH93" s="704"/>
      <c r="OMI93" s="704"/>
      <c r="OMJ93" s="704"/>
      <c r="OMK93" s="704"/>
      <c r="OML93" s="704"/>
      <c r="OMM93" s="704"/>
      <c r="OMN93" s="704"/>
      <c r="OMO93" s="704"/>
      <c r="OMP93" s="704"/>
      <c r="OMQ93" s="704"/>
      <c r="OMX93" s="704"/>
      <c r="OMY93" s="704"/>
      <c r="OMZ93" s="704"/>
      <c r="ONA93" s="704"/>
      <c r="ONB93" s="704"/>
      <c r="ONC93" s="704"/>
      <c r="OND93" s="704"/>
      <c r="ONE93" s="704"/>
      <c r="ONF93" s="704"/>
      <c r="ONG93" s="704"/>
      <c r="ONH93" s="704"/>
      <c r="ONI93" s="704"/>
      <c r="ONJ93" s="704"/>
      <c r="ONK93" s="704"/>
      <c r="ONL93" s="704"/>
      <c r="ONM93" s="704"/>
      <c r="ONN93" s="704"/>
      <c r="ONO93" s="704"/>
      <c r="ONP93" s="704"/>
      <c r="ONQ93" s="704"/>
      <c r="ONR93" s="704"/>
      <c r="ONS93" s="704"/>
      <c r="ONT93" s="704"/>
      <c r="ONU93" s="704"/>
      <c r="ONV93" s="704"/>
      <c r="ONW93" s="704"/>
      <c r="ONX93" s="704"/>
      <c r="ONY93" s="704"/>
      <c r="ONZ93" s="704"/>
      <c r="OOA93" s="704"/>
      <c r="OOB93" s="704"/>
      <c r="OOC93" s="704"/>
      <c r="OOD93" s="704"/>
      <c r="OOE93" s="704"/>
      <c r="OOF93" s="704"/>
      <c r="OOG93" s="704"/>
      <c r="OOH93" s="704"/>
      <c r="OOI93" s="704"/>
      <c r="OOJ93" s="704"/>
      <c r="OOK93" s="704"/>
      <c r="OOL93" s="704"/>
      <c r="OOM93" s="704"/>
      <c r="OON93" s="704"/>
      <c r="OOO93" s="704"/>
      <c r="OOP93" s="704"/>
      <c r="OOQ93" s="704"/>
      <c r="OOR93" s="704"/>
      <c r="OOS93" s="704"/>
      <c r="OOT93" s="704"/>
      <c r="OOU93" s="704"/>
      <c r="OOV93" s="704"/>
      <c r="OOW93" s="704"/>
      <c r="OOX93" s="704"/>
      <c r="OOY93" s="704"/>
      <c r="OOZ93" s="704"/>
      <c r="OPA93" s="704"/>
      <c r="OPB93" s="704"/>
      <c r="OPC93" s="704"/>
      <c r="OPD93" s="704"/>
      <c r="OPE93" s="704"/>
      <c r="OPF93" s="704"/>
      <c r="OPG93" s="704"/>
      <c r="OPH93" s="704"/>
      <c r="OPI93" s="704"/>
      <c r="OPJ93" s="704"/>
      <c r="OPK93" s="704"/>
      <c r="OPL93" s="704"/>
      <c r="OPM93" s="704"/>
      <c r="OPN93" s="704"/>
      <c r="OPO93" s="704"/>
      <c r="OPP93" s="704"/>
      <c r="OPQ93" s="704"/>
      <c r="OPR93" s="704"/>
      <c r="OPS93" s="704"/>
      <c r="OPT93" s="704"/>
      <c r="OPU93" s="704"/>
      <c r="OPV93" s="704"/>
      <c r="OPW93" s="704"/>
      <c r="OPX93" s="704"/>
      <c r="OPY93" s="704"/>
      <c r="OPZ93" s="704"/>
      <c r="OQA93" s="704"/>
      <c r="OQB93" s="704"/>
      <c r="OQC93" s="704"/>
      <c r="OQD93" s="704"/>
      <c r="OQE93" s="704"/>
      <c r="OQF93" s="704"/>
      <c r="OQG93" s="704"/>
      <c r="OQH93" s="704"/>
      <c r="OQI93" s="704"/>
      <c r="OQJ93" s="704"/>
      <c r="OQK93" s="704"/>
      <c r="OQL93" s="704"/>
      <c r="OQM93" s="704"/>
      <c r="OQN93" s="704"/>
      <c r="OQO93" s="704"/>
      <c r="OQP93" s="704"/>
      <c r="OQQ93" s="704"/>
      <c r="OQR93" s="704"/>
      <c r="OQS93" s="704"/>
      <c r="OQT93" s="704"/>
      <c r="OQU93" s="704"/>
      <c r="OQV93" s="704"/>
      <c r="OQW93" s="704"/>
      <c r="OQX93" s="704"/>
      <c r="OQY93" s="704"/>
      <c r="OQZ93" s="704"/>
      <c r="ORA93" s="704"/>
      <c r="ORB93" s="704"/>
      <c r="ORC93" s="704"/>
      <c r="ORD93" s="704"/>
      <c r="ORE93" s="704"/>
      <c r="ORF93" s="704"/>
      <c r="ORG93" s="704"/>
      <c r="ORH93" s="704"/>
      <c r="ORI93" s="704"/>
      <c r="ORJ93" s="704"/>
      <c r="ORK93" s="704"/>
      <c r="ORL93" s="704"/>
      <c r="ORM93" s="704"/>
      <c r="ORN93" s="704"/>
      <c r="ORO93" s="704"/>
      <c r="ORP93" s="704"/>
      <c r="ORQ93" s="704"/>
      <c r="ORR93" s="704"/>
      <c r="ORS93" s="704"/>
      <c r="ORT93" s="704"/>
      <c r="ORU93" s="704"/>
      <c r="ORV93" s="704"/>
      <c r="ORW93" s="704"/>
      <c r="ORX93" s="704"/>
      <c r="ORY93" s="704"/>
      <c r="ORZ93" s="704"/>
      <c r="OSA93" s="704"/>
      <c r="OSB93" s="704"/>
      <c r="OSC93" s="704"/>
      <c r="OSD93" s="704"/>
      <c r="OSE93" s="704"/>
      <c r="OSF93" s="704"/>
      <c r="OSG93" s="704"/>
      <c r="OSH93" s="704"/>
      <c r="OSI93" s="704"/>
      <c r="OSJ93" s="704"/>
      <c r="OSK93" s="704"/>
      <c r="OSL93" s="704"/>
      <c r="OSM93" s="704"/>
      <c r="OSN93" s="704"/>
      <c r="OSO93" s="704"/>
      <c r="OSP93" s="704"/>
      <c r="OSQ93" s="704"/>
      <c r="OSR93" s="704"/>
      <c r="OSS93" s="704"/>
      <c r="OST93" s="704"/>
      <c r="OSU93" s="704"/>
      <c r="OSV93" s="704"/>
      <c r="OSW93" s="704"/>
      <c r="OSX93" s="704"/>
      <c r="OSY93" s="704"/>
      <c r="OSZ93" s="704"/>
      <c r="OTA93" s="704"/>
      <c r="OTB93" s="704"/>
      <c r="OTC93" s="704"/>
      <c r="OTD93" s="704"/>
      <c r="OTE93" s="704"/>
      <c r="OTF93" s="704"/>
      <c r="OTG93" s="704"/>
      <c r="OTH93" s="704"/>
      <c r="OTI93" s="704"/>
      <c r="OTJ93" s="704"/>
      <c r="OTK93" s="704"/>
      <c r="OTL93" s="704"/>
      <c r="OTM93" s="704"/>
      <c r="OTN93" s="704"/>
      <c r="OTO93" s="704"/>
      <c r="OTP93" s="704"/>
      <c r="OTQ93" s="704"/>
      <c r="OTR93" s="704"/>
      <c r="OTS93" s="704"/>
      <c r="OTT93" s="704"/>
      <c r="OTU93" s="704"/>
      <c r="OTV93" s="704"/>
      <c r="OTW93" s="704"/>
      <c r="OTX93" s="704"/>
      <c r="OTY93" s="704"/>
      <c r="OTZ93" s="704"/>
      <c r="OUA93" s="704"/>
      <c r="OUB93" s="704"/>
      <c r="OUC93" s="704"/>
      <c r="OUD93" s="704"/>
      <c r="OUE93" s="704"/>
      <c r="OUF93" s="704"/>
      <c r="OUG93" s="704"/>
      <c r="OUH93" s="704"/>
      <c r="OUI93" s="704"/>
      <c r="OUJ93" s="704"/>
      <c r="OUK93" s="704"/>
      <c r="OUL93" s="704"/>
      <c r="OUM93" s="704"/>
      <c r="OUN93" s="704"/>
      <c r="OUO93" s="704"/>
      <c r="OUP93" s="704"/>
      <c r="OUQ93" s="704"/>
      <c r="OUR93" s="704"/>
      <c r="OUS93" s="704"/>
      <c r="OUT93" s="704"/>
      <c r="OUU93" s="704"/>
      <c r="OUV93" s="704"/>
      <c r="OUW93" s="704"/>
      <c r="OUX93" s="704"/>
      <c r="OUY93" s="704"/>
      <c r="OUZ93" s="704"/>
      <c r="OVA93" s="704"/>
      <c r="OVB93" s="704"/>
      <c r="OVC93" s="704"/>
      <c r="OVD93" s="704"/>
      <c r="OVE93" s="704"/>
      <c r="OVF93" s="704"/>
      <c r="OVG93" s="704"/>
      <c r="OVH93" s="704"/>
      <c r="OVI93" s="704"/>
      <c r="OVJ93" s="704"/>
      <c r="OVK93" s="704"/>
      <c r="OVL93" s="704"/>
      <c r="OVM93" s="704"/>
      <c r="OVN93" s="704"/>
      <c r="OVO93" s="704"/>
      <c r="OVP93" s="704"/>
      <c r="OVQ93" s="704"/>
      <c r="OVR93" s="704"/>
      <c r="OVS93" s="704"/>
      <c r="OVT93" s="704"/>
      <c r="OVU93" s="704"/>
      <c r="OVV93" s="704"/>
      <c r="OVW93" s="704"/>
      <c r="OVX93" s="704"/>
      <c r="OVY93" s="704"/>
      <c r="OVZ93" s="704"/>
      <c r="OWA93" s="704"/>
      <c r="OWB93" s="704"/>
      <c r="OWC93" s="704"/>
      <c r="OWD93" s="704"/>
      <c r="OWE93" s="704"/>
      <c r="OWF93" s="704"/>
      <c r="OWG93" s="704"/>
      <c r="OWH93" s="704"/>
      <c r="OWI93" s="704"/>
      <c r="OWJ93" s="704"/>
      <c r="OWK93" s="704"/>
      <c r="OWL93" s="704"/>
      <c r="OWM93" s="704"/>
      <c r="OWT93" s="704"/>
      <c r="OWU93" s="704"/>
      <c r="OWV93" s="704"/>
      <c r="OWW93" s="704"/>
      <c r="OWX93" s="704"/>
      <c r="OWY93" s="704"/>
      <c r="OWZ93" s="704"/>
      <c r="OXA93" s="704"/>
      <c r="OXB93" s="704"/>
      <c r="OXC93" s="704"/>
      <c r="OXD93" s="704"/>
      <c r="OXE93" s="704"/>
      <c r="OXF93" s="704"/>
      <c r="OXG93" s="704"/>
      <c r="OXH93" s="704"/>
      <c r="OXI93" s="704"/>
      <c r="OXJ93" s="704"/>
      <c r="OXK93" s="704"/>
      <c r="OXL93" s="704"/>
      <c r="OXM93" s="704"/>
      <c r="OXN93" s="704"/>
      <c r="OXO93" s="704"/>
      <c r="OXP93" s="704"/>
      <c r="OXQ93" s="704"/>
      <c r="OXR93" s="704"/>
      <c r="OXS93" s="704"/>
      <c r="OXT93" s="704"/>
      <c r="OXU93" s="704"/>
      <c r="OXV93" s="704"/>
      <c r="OXW93" s="704"/>
      <c r="OXX93" s="704"/>
      <c r="OXY93" s="704"/>
      <c r="OXZ93" s="704"/>
      <c r="OYA93" s="704"/>
      <c r="OYB93" s="704"/>
      <c r="OYC93" s="704"/>
      <c r="OYD93" s="704"/>
      <c r="OYE93" s="704"/>
      <c r="OYF93" s="704"/>
      <c r="OYG93" s="704"/>
      <c r="OYH93" s="704"/>
      <c r="OYI93" s="704"/>
      <c r="OYJ93" s="704"/>
      <c r="OYK93" s="704"/>
      <c r="OYL93" s="704"/>
      <c r="OYM93" s="704"/>
      <c r="OYN93" s="704"/>
      <c r="OYO93" s="704"/>
      <c r="OYP93" s="704"/>
      <c r="OYQ93" s="704"/>
      <c r="OYR93" s="704"/>
      <c r="OYS93" s="704"/>
      <c r="OYT93" s="704"/>
      <c r="OYU93" s="704"/>
      <c r="OYV93" s="704"/>
      <c r="OYW93" s="704"/>
      <c r="OYX93" s="704"/>
      <c r="OYY93" s="704"/>
      <c r="OYZ93" s="704"/>
      <c r="OZA93" s="704"/>
      <c r="OZB93" s="704"/>
      <c r="OZC93" s="704"/>
      <c r="OZD93" s="704"/>
      <c r="OZE93" s="704"/>
      <c r="OZF93" s="704"/>
      <c r="OZG93" s="704"/>
      <c r="OZH93" s="704"/>
      <c r="OZI93" s="704"/>
      <c r="OZJ93" s="704"/>
      <c r="OZK93" s="704"/>
      <c r="OZL93" s="704"/>
      <c r="OZM93" s="704"/>
      <c r="OZN93" s="704"/>
      <c r="OZO93" s="704"/>
      <c r="OZP93" s="704"/>
      <c r="OZQ93" s="704"/>
      <c r="OZR93" s="704"/>
      <c r="OZS93" s="704"/>
      <c r="OZT93" s="704"/>
      <c r="OZU93" s="704"/>
      <c r="OZV93" s="704"/>
      <c r="OZW93" s="704"/>
      <c r="OZX93" s="704"/>
      <c r="OZY93" s="704"/>
      <c r="OZZ93" s="704"/>
      <c r="PAA93" s="704"/>
      <c r="PAB93" s="704"/>
      <c r="PAC93" s="704"/>
      <c r="PAD93" s="704"/>
      <c r="PAE93" s="704"/>
      <c r="PAF93" s="704"/>
      <c r="PAG93" s="704"/>
      <c r="PAH93" s="704"/>
      <c r="PAI93" s="704"/>
      <c r="PAJ93" s="704"/>
      <c r="PAK93" s="704"/>
      <c r="PAL93" s="704"/>
      <c r="PAM93" s="704"/>
      <c r="PAN93" s="704"/>
      <c r="PAO93" s="704"/>
      <c r="PAP93" s="704"/>
      <c r="PAQ93" s="704"/>
      <c r="PAR93" s="704"/>
      <c r="PAS93" s="704"/>
      <c r="PAT93" s="704"/>
      <c r="PAU93" s="704"/>
      <c r="PAV93" s="704"/>
      <c r="PAW93" s="704"/>
      <c r="PAX93" s="704"/>
      <c r="PAY93" s="704"/>
      <c r="PAZ93" s="704"/>
      <c r="PBA93" s="704"/>
      <c r="PBB93" s="704"/>
      <c r="PBC93" s="704"/>
      <c r="PBD93" s="704"/>
      <c r="PBE93" s="704"/>
      <c r="PBF93" s="704"/>
      <c r="PBG93" s="704"/>
      <c r="PBH93" s="704"/>
      <c r="PBI93" s="704"/>
      <c r="PBJ93" s="704"/>
      <c r="PBK93" s="704"/>
      <c r="PBL93" s="704"/>
      <c r="PBM93" s="704"/>
      <c r="PBN93" s="704"/>
      <c r="PBO93" s="704"/>
      <c r="PBP93" s="704"/>
      <c r="PBQ93" s="704"/>
      <c r="PBR93" s="704"/>
      <c r="PBS93" s="704"/>
      <c r="PBT93" s="704"/>
      <c r="PBU93" s="704"/>
      <c r="PBV93" s="704"/>
      <c r="PBW93" s="704"/>
      <c r="PBX93" s="704"/>
      <c r="PBY93" s="704"/>
      <c r="PBZ93" s="704"/>
      <c r="PCA93" s="704"/>
      <c r="PCB93" s="704"/>
      <c r="PCC93" s="704"/>
      <c r="PCD93" s="704"/>
      <c r="PCE93" s="704"/>
      <c r="PCF93" s="704"/>
      <c r="PCG93" s="704"/>
      <c r="PCH93" s="704"/>
      <c r="PCI93" s="704"/>
      <c r="PCJ93" s="704"/>
      <c r="PCK93" s="704"/>
      <c r="PCL93" s="704"/>
      <c r="PCM93" s="704"/>
      <c r="PCN93" s="704"/>
      <c r="PCO93" s="704"/>
      <c r="PCP93" s="704"/>
      <c r="PCQ93" s="704"/>
      <c r="PCR93" s="704"/>
      <c r="PCS93" s="704"/>
      <c r="PCT93" s="704"/>
      <c r="PCU93" s="704"/>
      <c r="PCV93" s="704"/>
      <c r="PCW93" s="704"/>
      <c r="PCX93" s="704"/>
      <c r="PCY93" s="704"/>
      <c r="PCZ93" s="704"/>
      <c r="PDA93" s="704"/>
      <c r="PDB93" s="704"/>
      <c r="PDC93" s="704"/>
      <c r="PDD93" s="704"/>
      <c r="PDE93" s="704"/>
      <c r="PDF93" s="704"/>
      <c r="PDG93" s="704"/>
      <c r="PDH93" s="704"/>
      <c r="PDI93" s="704"/>
      <c r="PDJ93" s="704"/>
      <c r="PDK93" s="704"/>
      <c r="PDL93" s="704"/>
      <c r="PDM93" s="704"/>
      <c r="PDN93" s="704"/>
      <c r="PDO93" s="704"/>
      <c r="PDP93" s="704"/>
      <c r="PDQ93" s="704"/>
      <c r="PDR93" s="704"/>
      <c r="PDS93" s="704"/>
      <c r="PDT93" s="704"/>
      <c r="PDU93" s="704"/>
      <c r="PDV93" s="704"/>
      <c r="PDW93" s="704"/>
      <c r="PDX93" s="704"/>
      <c r="PDY93" s="704"/>
      <c r="PDZ93" s="704"/>
      <c r="PEA93" s="704"/>
      <c r="PEB93" s="704"/>
      <c r="PEC93" s="704"/>
      <c r="PED93" s="704"/>
      <c r="PEE93" s="704"/>
      <c r="PEF93" s="704"/>
      <c r="PEG93" s="704"/>
      <c r="PEH93" s="704"/>
      <c r="PEI93" s="704"/>
      <c r="PEJ93" s="704"/>
      <c r="PEK93" s="704"/>
      <c r="PEL93" s="704"/>
      <c r="PEM93" s="704"/>
      <c r="PEN93" s="704"/>
      <c r="PEO93" s="704"/>
      <c r="PEP93" s="704"/>
      <c r="PEQ93" s="704"/>
      <c r="PER93" s="704"/>
      <c r="PES93" s="704"/>
      <c r="PET93" s="704"/>
      <c r="PEU93" s="704"/>
      <c r="PEV93" s="704"/>
      <c r="PEW93" s="704"/>
      <c r="PEX93" s="704"/>
      <c r="PEY93" s="704"/>
      <c r="PEZ93" s="704"/>
      <c r="PFA93" s="704"/>
      <c r="PFB93" s="704"/>
      <c r="PFC93" s="704"/>
      <c r="PFD93" s="704"/>
      <c r="PFE93" s="704"/>
      <c r="PFF93" s="704"/>
      <c r="PFG93" s="704"/>
      <c r="PFH93" s="704"/>
      <c r="PFI93" s="704"/>
      <c r="PFJ93" s="704"/>
      <c r="PFK93" s="704"/>
      <c r="PFL93" s="704"/>
      <c r="PFM93" s="704"/>
      <c r="PFN93" s="704"/>
      <c r="PFO93" s="704"/>
      <c r="PFP93" s="704"/>
      <c r="PFQ93" s="704"/>
      <c r="PFR93" s="704"/>
      <c r="PFS93" s="704"/>
      <c r="PFT93" s="704"/>
      <c r="PFU93" s="704"/>
      <c r="PFV93" s="704"/>
      <c r="PFW93" s="704"/>
      <c r="PFX93" s="704"/>
      <c r="PFY93" s="704"/>
      <c r="PFZ93" s="704"/>
      <c r="PGA93" s="704"/>
      <c r="PGB93" s="704"/>
      <c r="PGC93" s="704"/>
      <c r="PGD93" s="704"/>
      <c r="PGE93" s="704"/>
      <c r="PGF93" s="704"/>
      <c r="PGG93" s="704"/>
      <c r="PGH93" s="704"/>
      <c r="PGI93" s="704"/>
      <c r="PGP93" s="704"/>
      <c r="PGQ93" s="704"/>
      <c r="PGR93" s="704"/>
      <c r="PGS93" s="704"/>
      <c r="PGT93" s="704"/>
      <c r="PGU93" s="704"/>
      <c r="PGV93" s="704"/>
      <c r="PGW93" s="704"/>
      <c r="PGX93" s="704"/>
      <c r="PGY93" s="704"/>
      <c r="PGZ93" s="704"/>
      <c r="PHA93" s="704"/>
      <c r="PHB93" s="704"/>
      <c r="PHC93" s="704"/>
      <c r="PHD93" s="704"/>
      <c r="PHE93" s="704"/>
      <c r="PHF93" s="704"/>
      <c r="PHG93" s="704"/>
      <c r="PHH93" s="704"/>
      <c r="PHI93" s="704"/>
      <c r="PHJ93" s="704"/>
      <c r="PHK93" s="704"/>
      <c r="PHL93" s="704"/>
      <c r="PHM93" s="704"/>
      <c r="PHN93" s="704"/>
      <c r="PHO93" s="704"/>
      <c r="PHP93" s="704"/>
      <c r="PHQ93" s="704"/>
      <c r="PHR93" s="704"/>
      <c r="PHS93" s="704"/>
      <c r="PHT93" s="704"/>
      <c r="PHU93" s="704"/>
      <c r="PHV93" s="704"/>
      <c r="PHW93" s="704"/>
      <c r="PHX93" s="704"/>
      <c r="PHY93" s="704"/>
      <c r="PHZ93" s="704"/>
      <c r="PIA93" s="704"/>
      <c r="PIB93" s="704"/>
      <c r="PIC93" s="704"/>
      <c r="PID93" s="704"/>
      <c r="PIE93" s="704"/>
      <c r="PIF93" s="704"/>
      <c r="PIG93" s="704"/>
      <c r="PIH93" s="704"/>
      <c r="PII93" s="704"/>
      <c r="PIJ93" s="704"/>
      <c r="PIK93" s="704"/>
      <c r="PIL93" s="704"/>
      <c r="PIM93" s="704"/>
      <c r="PIN93" s="704"/>
      <c r="PIO93" s="704"/>
      <c r="PIP93" s="704"/>
      <c r="PIQ93" s="704"/>
      <c r="PIR93" s="704"/>
      <c r="PIS93" s="704"/>
      <c r="PIT93" s="704"/>
      <c r="PIU93" s="704"/>
      <c r="PIV93" s="704"/>
      <c r="PIW93" s="704"/>
      <c r="PIX93" s="704"/>
      <c r="PIY93" s="704"/>
      <c r="PIZ93" s="704"/>
      <c r="PJA93" s="704"/>
      <c r="PJB93" s="704"/>
      <c r="PJC93" s="704"/>
      <c r="PJD93" s="704"/>
      <c r="PJE93" s="704"/>
      <c r="PJF93" s="704"/>
      <c r="PJG93" s="704"/>
      <c r="PJH93" s="704"/>
      <c r="PJI93" s="704"/>
      <c r="PJJ93" s="704"/>
      <c r="PJK93" s="704"/>
      <c r="PJL93" s="704"/>
      <c r="PJM93" s="704"/>
      <c r="PJN93" s="704"/>
      <c r="PJO93" s="704"/>
      <c r="PJP93" s="704"/>
      <c r="PJQ93" s="704"/>
      <c r="PJR93" s="704"/>
      <c r="PJS93" s="704"/>
      <c r="PJT93" s="704"/>
      <c r="PJU93" s="704"/>
      <c r="PJV93" s="704"/>
      <c r="PJW93" s="704"/>
      <c r="PJX93" s="704"/>
      <c r="PJY93" s="704"/>
      <c r="PJZ93" s="704"/>
      <c r="PKA93" s="704"/>
      <c r="PKB93" s="704"/>
      <c r="PKC93" s="704"/>
      <c r="PKD93" s="704"/>
      <c r="PKE93" s="704"/>
      <c r="PKF93" s="704"/>
      <c r="PKG93" s="704"/>
      <c r="PKH93" s="704"/>
      <c r="PKI93" s="704"/>
      <c r="PKJ93" s="704"/>
      <c r="PKK93" s="704"/>
      <c r="PKL93" s="704"/>
      <c r="PKM93" s="704"/>
      <c r="PKN93" s="704"/>
      <c r="PKO93" s="704"/>
      <c r="PKP93" s="704"/>
      <c r="PKQ93" s="704"/>
      <c r="PKR93" s="704"/>
      <c r="PKS93" s="704"/>
      <c r="PKT93" s="704"/>
      <c r="PKU93" s="704"/>
      <c r="PKV93" s="704"/>
      <c r="PKW93" s="704"/>
      <c r="PKX93" s="704"/>
      <c r="PKY93" s="704"/>
      <c r="PKZ93" s="704"/>
      <c r="PLA93" s="704"/>
      <c r="PLB93" s="704"/>
      <c r="PLC93" s="704"/>
      <c r="PLD93" s="704"/>
      <c r="PLE93" s="704"/>
      <c r="PLF93" s="704"/>
      <c r="PLG93" s="704"/>
      <c r="PLH93" s="704"/>
      <c r="PLI93" s="704"/>
      <c r="PLJ93" s="704"/>
      <c r="PLK93" s="704"/>
      <c r="PLL93" s="704"/>
      <c r="PLM93" s="704"/>
      <c r="PLN93" s="704"/>
      <c r="PLO93" s="704"/>
      <c r="PLP93" s="704"/>
      <c r="PLQ93" s="704"/>
      <c r="PLR93" s="704"/>
      <c r="PLS93" s="704"/>
      <c r="PLT93" s="704"/>
      <c r="PLU93" s="704"/>
      <c r="PLV93" s="704"/>
      <c r="PLW93" s="704"/>
      <c r="PLX93" s="704"/>
      <c r="PLY93" s="704"/>
      <c r="PLZ93" s="704"/>
      <c r="PMA93" s="704"/>
      <c r="PMB93" s="704"/>
      <c r="PMC93" s="704"/>
      <c r="PMD93" s="704"/>
      <c r="PME93" s="704"/>
      <c r="PMF93" s="704"/>
      <c r="PMG93" s="704"/>
      <c r="PMH93" s="704"/>
      <c r="PMI93" s="704"/>
      <c r="PMJ93" s="704"/>
      <c r="PMK93" s="704"/>
      <c r="PML93" s="704"/>
      <c r="PMM93" s="704"/>
      <c r="PMN93" s="704"/>
      <c r="PMO93" s="704"/>
      <c r="PMP93" s="704"/>
      <c r="PMQ93" s="704"/>
      <c r="PMR93" s="704"/>
      <c r="PMS93" s="704"/>
      <c r="PMT93" s="704"/>
      <c r="PMU93" s="704"/>
      <c r="PMV93" s="704"/>
      <c r="PMW93" s="704"/>
      <c r="PMX93" s="704"/>
      <c r="PMY93" s="704"/>
      <c r="PMZ93" s="704"/>
      <c r="PNA93" s="704"/>
      <c r="PNB93" s="704"/>
      <c r="PNC93" s="704"/>
      <c r="PND93" s="704"/>
      <c r="PNE93" s="704"/>
      <c r="PNF93" s="704"/>
      <c r="PNG93" s="704"/>
      <c r="PNH93" s="704"/>
      <c r="PNI93" s="704"/>
      <c r="PNJ93" s="704"/>
      <c r="PNK93" s="704"/>
      <c r="PNL93" s="704"/>
      <c r="PNM93" s="704"/>
      <c r="PNN93" s="704"/>
      <c r="PNO93" s="704"/>
      <c r="PNP93" s="704"/>
      <c r="PNQ93" s="704"/>
      <c r="PNR93" s="704"/>
      <c r="PNS93" s="704"/>
      <c r="PNT93" s="704"/>
      <c r="PNU93" s="704"/>
      <c r="PNV93" s="704"/>
      <c r="PNW93" s="704"/>
      <c r="PNX93" s="704"/>
      <c r="PNY93" s="704"/>
      <c r="PNZ93" s="704"/>
      <c r="POA93" s="704"/>
      <c r="POB93" s="704"/>
      <c r="POC93" s="704"/>
      <c r="POD93" s="704"/>
      <c r="POE93" s="704"/>
      <c r="POF93" s="704"/>
      <c r="POG93" s="704"/>
      <c r="POH93" s="704"/>
      <c r="POI93" s="704"/>
      <c r="POJ93" s="704"/>
      <c r="POK93" s="704"/>
      <c r="POL93" s="704"/>
      <c r="POM93" s="704"/>
      <c r="PON93" s="704"/>
      <c r="POO93" s="704"/>
      <c r="POP93" s="704"/>
      <c r="POQ93" s="704"/>
      <c r="POR93" s="704"/>
      <c r="POS93" s="704"/>
      <c r="POT93" s="704"/>
      <c r="POU93" s="704"/>
      <c r="POV93" s="704"/>
      <c r="POW93" s="704"/>
      <c r="POX93" s="704"/>
      <c r="POY93" s="704"/>
      <c r="POZ93" s="704"/>
      <c r="PPA93" s="704"/>
      <c r="PPB93" s="704"/>
      <c r="PPC93" s="704"/>
      <c r="PPD93" s="704"/>
      <c r="PPE93" s="704"/>
      <c r="PPF93" s="704"/>
      <c r="PPG93" s="704"/>
      <c r="PPH93" s="704"/>
      <c r="PPI93" s="704"/>
      <c r="PPJ93" s="704"/>
      <c r="PPK93" s="704"/>
      <c r="PPL93" s="704"/>
      <c r="PPM93" s="704"/>
      <c r="PPN93" s="704"/>
      <c r="PPO93" s="704"/>
      <c r="PPP93" s="704"/>
      <c r="PPQ93" s="704"/>
      <c r="PPR93" s="704"/>
      <c r="PPS93" s="704"/>
      <c r="PPT93" s="704"/>
      <c r="PPU93" s="704"/>
      <c r="PPV93" s="704"/>
      <c r="PPW93" s="704"/>
      <c r="PPX93" s="704"/>
      <c r="PPY93" s="704"/>
      <c r="PPZ93" s="704"/>
      <c r="PQA93" s="704"/>
      <c r="PQB93" s="704"/>
      <c r="PQC93" s="704"/>
      <c r="PQD93" s="704"/>
      <c r="PQE93" s="704"/>
      <c r="PQL93" s="704"/>
      <c r="PQM93" s="704"/>
      <c r="PQN93" s="704"/>
      <c r="PQO93" s="704"/>
      <c r="PQP93" s="704"/>
      <c r="PQQ93" s="704"/>
      <c r="PQR93" s="704"/>
      <c r="PQS93" s="704"/>
      <c r="PQT93" s="704"/>
      <c r="PQU93" s="704"/>
      <c r="PQV93" s="704"/>
      <c r="PQW93" s="704"/>
      <c r="PQX93" s="704"/>
      <c r="PQY93" s="704"/>
      <c r="PQZ93" s="704"/>
      <c r="PRA93" s="704"/>
      <c r="PRB93" s="704"/>
      <c r="PRC93" s="704"/>
      <c r="PRD93" s="704"/>
      <c r="PRE93" s="704"/>
      <c r="PRF93" s="704"/>
      <c r="PRG93" s="704"/>
      <c r="PRH93" s="704"/>
      <c r="PRI93" s="704"/>
      <c r="PRJ93" s="704"/>
      <c r="PRK93" s="704"/>
      <c r="PRL93" s="704"/>
      <c r="PRM93" s="704"/>
      <c r="PRN93" s="704"/>
      <c r="PRO93" s="704"/>
      <c r="PRP93" s="704"/>
      <c r="PRQ93" s="704"/>
      <c r="PRR93" s="704"/>
      <c r="PRS93" s="704"/>
      <c r="PRT93" s="704"/>
      <c r="PRU93" s="704"/>
      <c r="PRV93" s="704"/>
      <c r="PRW93" s="704"/>
      <c r="PRX93" s="704"/>
      <c r="PRY93" s="704"/>
      <c r="PRZ93" s="704"/>
      <c r="PSA93" s="704"/>
      <c r="PSB93" s="704"/>
      <c r="PSC93" s="704"/>
      <c r="PSD93" s="704"/>
      <c r="PSE93" s="704"/>
      <c r="PSF93" s="704"/>
      <c r="PSG93" s="704"/>
      <c r="PSH93" s="704"/>
      <c r="PSI93" s="704"/>
      <c r="PSJ93" s="704"/>
      <c r="PSK93" s="704"/>
      <c r="PSL93" s="704"/>
      <c r="PSM93" s="704"/>
      <c r="PSN93" s="704"/>
      <c r="PSO93" s="704"/>
      <c r="PSP93" s="704"/>
      <c r="PSQ93" s="704"/>
      <c r="PSR93" s="704"/>
      <c r="PSS93" s="704"/>
      <c r="PST93" s="704"/>
      <c r="PSU93" s="704"/>
      <c r="PSV93" s="704"/>
      <c r="PSW93" s="704"/>
      <c r="PSX93" s="704"/>
      <c r="PSY93" s="704"/>
      <c r="PSZ93" s="704"/>
      <c r="PTA93" s="704"/>
      <c r="PTB93" s="704"/>
      <c r="PTC93" s="704"/>
      <c r="PTD93" s="704"/>
      <c r="PTE93" s="704"/>
      <c r="PTF93" s="704"/>
      <c r="PTG93" s="704"/>
      <c r="PTH93" s="704"/>
      <c r="PTI93" s="704"/>
      <c r="PTJ93" s="704"/>
      <c r="PTK93" s="704"/>
      <c r="PTL93" s="704"/>
      <c r="PTM93" s="704"/>
      <c r="PTN93" s="704"/>
      <c r="PTO93" s="704"/>
      <c r="PTP93" s="704"/>
      <c r="PTQ93" s="704"/>
      <c r="PTR93" s="704"/>
      <c r="PTS93" s="704"/>
      <c r="PTT93" s="704"/>
      <c r="PTU93" s="704"/>
      <c r="PTV93" s="704"/>
      <c r="PTW93" s="704"/>
      <c r="PTX93" s="704"/>
      <c r="PTY93" s="704"/>
      <c r="PTZ93" s="704"/>
      <c r="PUA93" s="704"/>
      <c r="PUB93" s="704"/>
      <c r="PUC93" s="704"/>
      <c r="PUD93" s="704"/>
      <c r="PUE93" s="704"/>
      <c r="PUF93" s="704"/>
      <c r="PUG93" s="704"/>
      <c r="PUH93" s="704"/>
      <c r="PUI93" s="704"/>
      <c r="PUJ93" s="704"/>
      <c r="PUK93" s="704"/>
      <c r="PUL93" s="704"/>
      <c r="PUM93" s="704"/>
      <c r="PUN93" s="704"/>
      <c r="PUO93" s="704"/>
      <c r="PUP93" s="704"/>
      <c r="PUQ93" s="704"/>
      <c r="PUR93" s="704"/>
      <c r="PUS93" s="704"/>
      <c r="PUT93" s="704"/>
      <c r="PUU93" s="704"/>
      <c r="PUV93" s="704"/>
      <c r="PUW93" s="704"/>
      <c r="PUX93" s="704"/>
      <c r="PUY93" s="704"/>
      <c r="PUZ93" s="704"/>
      <c r="PVA93" s="704"/>
      <c r="PVB93" s="704"/>
      <c r="PVC93" s="704"/>
      <c r="PVD93" s="704"/>
      <c r="PVE93" s="704"/>
      <c r="PVF93" s="704"/>
      <c r="PVG93" s="704"/>
      <c r="PVH93" s="704"/>
      <c r="PVI93" s="704"/>
      <c r="PVJ93" s="704"/>
      <c r="PVK93" s="704"/>
      <c r="PVL93" s="704"/>
      <c r="PVM93" s="704"/>
      <c r="PVN93" s="704"/>
      <c r="PVO93" s="704"/>
      <c r="PVP93" s="704"/>
      <c r="PVQ93" s="704"/>
      <c r="PVR93" s="704"/>
      <c r="PVS93" s="704"/>
      <c r="PVT93" s="704"/>
      <c r="PVU93" s="704"/>
      <c r="PVV93" s="704"/>
      <c r="PVW93" s="704"/>
      <c r="PVX93" s="704"/>
      <c r="PVY93" s="704"/>
      <c r="PVZ93" s="704"/>
      <c r="PWA93" s="704"/>
      <c r="PWB93" s="704"/>
      <c r="PWC93" s="704"/>
      <c r="PWD93" s="704"/>
      <c r="PWE93" s="704"/>
      <c r="PWF93" s="704"/>
      <c r="PWG93" s="704"/>
      <c r="PWH93" s="704"/>
      <c r="PWI93" s="704"/>
      <c r="PWJ93" s="704"/>
      <c r="PWK93" s="704"/>
      <c r="PWL93" s="704"/>
      <c r="PWM93" s="704"/>
      <c r="PWN93" s="704"/>
      <c r="PWO93" s="704"/>
      <c r="PWP93" s="704"/>
      <c r="PWQ93" s="704"/>
      <c r="PWR93" s="704"/>
      <c r="PWS93" s="704"/>
      <c r="PWT93" s="704"/>
      <c r="PWU93" s="704"/>
      <c r="PWV93" s="704"/>
      <c r="PWW93" s="704"/>
      <c r="PWX93" s="704"/>
      <c r="PWY93" s="704"/>
      <c r="PWZ93" s="704"/>
      <c r="PXA93" s="704"/>
      <c r="PXB93" s="704"/>
      <c r="PXC93" s="704"/>
      <c r="PXD93" s="704"/>
      <c r="PXE93" s="704"/>
      <c r="PXF93" s="704"/>
      <c r="PXG93" s="704"/>
      <c r="PXH93" s="704"/>
      <c r="PXI93" s="704"/>
      <c r="PXJ93" s="704"/>
      <c r="PXK93" s="704"/>
      <c r="PXL93" s="704"/>
      <c r="PXM93" s="704"/>
      <c r="PXN93" s="704"/>
      <c r="PXO93" s="704"/>
      <c r="PXP93" s="704"/>
      <c r="PXQ93" s="704"/>
      <c r="PXR93" s="704"/>
      <c r="PXS93" s="704"/>
      <c r="PXT93" s="704"/>
      <c r="PXU93" s="704"/>
      <c r="PXV93" s="704"/>
      <c r="PXW93" s="704"/>
      <c r="PXX93" s="704"/>
      <c r="PXY93" s="704"/>
      <c r="PXZ93" s="704"/>
      <c r="PYA93" s="704"/>
      <c r="PYB93" s="704"/>
      <c r="PYC93" s="704"/>
      <c r="PYD93" s="704"/>
      <c r="PYE93" s="704"/>
      <c r="PYF93" s="704"/>
      <c r="PYG93" s="704"/>
      <c r="PYH93" s="704"/>
      <c r="PYI93" s="704"/>
      <c r="PYJ93" s="704"/>
      <c r="PYK93" s="704"/>
      <c r="PYL93" s="704"/>
      <c r="PYM93" s="704"/>
      <c r="PYN93" s="704"/>
      <c r="PYO93" s="704"/>
      <c r="PYP93" s="704"/>
      <c r="PYQ93" s="704"/>
      <c r="PYR93" s="704"/>
      <c r="PYS93" s="704"/>
      <c r="PYT93" s="704"/>
      <c r="PYU93" s="704"/>
      <c r="PYV93" s="704"/>
      <c r="PYW93" s="704"/>
      <c r="PYX93" s="704"/>
      <c r="PYY93" s="704"/>
      <c r="PYZ93" s="704"/>
      <c r="PZA93" s="704"/>
      <c r="PZB93" s="704"/>
      <c r="PZC93" s="704"/>
      <c r="PZD93" s="704"/>
      <c r="PZE93" s="704"/>
      <c r="PZF93" s="704"/>
      <c r="PZG93" s="704"/>
      <c r="PZH93" s="704"/>
      <c r="PZI93" s="704"/>
      <c r="PZJ93" s="704"/>
      <c r="PZK93" s="704"/>
      <c r="PZL93" s="704"/>
      <c r="PZM93" s="704"/>
      <c r="PZN93" s="704"/>
      <c r="PZO93" s="704"/>
      <c r="PZP93" s="704"/>
      <c r="PZQ93" s="704"/>
      <c r="PZR93" s="704"/>
      <c r="PZS93" s="704"/>
      <c r="PZT93" s="704"/>
      <c r="PZU93" s="704"/>
      <c r="PZV93" s="704"/>
      <c r="PZW93" s="704"/>
      <c r="PZX93" s="704"/>
      <c r="PZY93" s="704"/>
      <c r="PZZ93" s="704"/>
      <c r="QAA93" s="704"/>
      <c r="QAH93" s="704"/>
      <c r="QAI93" s="704"/>
      <c r="QAJ93" s="704"/>
      <c r="QAK93" s="704"/>
      <c r="QAL93" s="704"/>
      <c r="QAM93" s="704"/>
      <c r="QAN93" s="704"/>
      <c r="QAO93" s="704"/>
      <c r="QAP93" s="704"/>
      <c r="QAQ93" s="704"/>
      <c r="QAR93" s="704"/>
      <c r="QAS93" s="704"/>
      <c r="QAT93" s="704"/>
      <c r="QAU93" s="704"/>
      <c r="QAV93" s="704"/>
      <c r="QAW93" s="704"/>
      <c r="QAX93" s="704"/>
      <c r="QAY93" s="704"/>
      <c r="QAZ93" s="704"/>
      <c r="QBA93" s="704"/>
      <c r="QBB93" s="704"/>
      <c r="QBC93" s="704"/>
      <c r="QBD93" s="704"/>
      <c r="QBE93" s="704"/>
      <c r="QBF93" s="704"/>
      <c r="QBG93" s="704"/>
      <c r="QBH93" s="704"/>
      <c r="QBI93" s="704"/>
      <c r="QBJ93" s="704"/>
      <c r="QBK93" s="704"/>
      <c r="QBL93" s="704"/>
      <c r="QBM93" s="704"/>
      <c r="QBN93" s="704"/>
      <c r="QBO93" s="704"/>
      <c r="QBP93" s="704"/>
      <c r="QBQ93" s="704"/>
      <c r="QBR93" s="704"/>
      <c r="QBS93" s="704"/>
      <c r="QBT93" s="704"/>
      <c r="QBU93" s="704"/>
      <c r="QBV93" s="704"/>
      <c r="QBW93" s="704"/>
      <c r="QBX93" s="704"/>
      <c r="QBY93" s="704"/>
      <c r="QBZ93" s="704"/>
      <c r="QCA93" s="704"/>
      <c r="QCB93" s="704"/>
      <c r="QCC93" s="704"/>
      <c r="QCD93" s="704"/>
      <c r="QCE93" s="704"/>
      <c r="QCF93" s="704"/>
      <c r="QCG93" s="704"/>
      <c r="QCH93" s="704"/>
      <c r="QCI93" s="704"/>
      <c r="QCJ93" s="704"/>
      <c r="QCK93" s="704"/>
      <c r="QCL93" s="704"/>
      <c r="QCM93" s="704"/>
      <c r="QCN93" s="704"/>
      <c r="QCO93" s="704"/>
      <c r="QCP93" s="704"/>
      <c r="QCQ93" s="704"/>
      <c r="QCR93" s="704"/>
      <c r="QCS93" s="704"/>
      <c r="QCT93" s="704"/>
      <c r="QCU93" s="704"/>
      <c r="QCV93" s="704"/>
      <c r="QCW93" s="704"/>
      <c r="QCX93" s="704"/>
      <c r="QCY93" s="704"/>
      <c r="QCZ93" s="704"/>
      <c r="QDA93" s="704"/>
      <c r="QDB93" s="704"/>
      <c r="QDC93" s="704"/>
      <c r="QDD93" s="704"/>
      <c r="QDE93" s="704"/>
      <c r="QDF93" s="704"/>
      <c r="QDG93" s="704"/>
      <c r="QDH93" s="704"/>
      <c r="QDI93" s="704"/>
      <c r="QDJ93" s="704"/>
      <c r="QDK93" s="704"/>
      <c r="QDL93" s="704"/>
      <c r="QDM93" s="704"/>
      <c r="QDN93" s="704"/>
      <c r="QDO93" s="704"/>
      <c r="QDP93" s="704"/>
      <c r="QDQ93" s="704"/>
      <c r="QDR93" s="704"/>
      <c r="QDS93" s="704"/>
      <c r="QDT93" s="704"/>
      <c r="QDU93" s="704"/>
      <c r="QDV93" s="704"/>
      <c r="QDW93" s="704"/>
      <c r="QDX93" s="704"/>
      <c r="QDY93" s="704"/>
      <c r="QDZ93" s="704"/>
      <c r="QEA93" s="704"/>
      <c r="QEB93" s="704"/>
      <c r="QEC93" s="704"/>
      <c r="QED93" s="704"/>
      <c r="QEE93" s="704"/>
      <c r="QEF93" s="704"/>
      <c r="QEG93" s="704"/>
      <c r="QEH93" s="704"/>
      <c r="QEI93" s="704"/>
      <c r="QEJ93" s="704"/>
      <c r="QEK93" s="704"/>
      <c r="QEL93" s="704"/>
      <c r="QEM93" s="704"/>
      <c r="QEN93" s="704"/>
      <c r="QEO93" s="704"/>
      <c r="QEP93" s="704"/>
      <c r="QEQ93" s="704"/>
      <c r="QER93" s="704"/>
      <c r="QES93" s="704"/>
      <c r="QET93" s="704"/>
      <c r="QEU93" s="704"/>
      <c r="QEV93" s="704"/>
      <c r="QEW93" s="704"/>
      <c r="QEX93" s="704"/>
      <c r="QEY93" s="704"/>
      <c r="QEZ93" s="704"/>
      <c r="QFA93" s="704"/>
      <c r="QFB93" s="704"/>
      <c r="QFC93" s="704"/>
      <c r="QFD93" s="704"/>
      <c r="QFE93" s="704"/>
      <c r="QFF93" s="704"/>
      <c r="QFG93" s="704"/>
      <c r="QFH93" s="704"/>
      <c r="QFI93" s="704"/>
      <c r="QFJ93" s="704"/>
      <c r="QFK93" s="704"/>
      <c r="QFL93" s="704"/>
      <c r="QFM93" s="704"/>
      <c r="QFN93" s="704"/>
      <c r="QFO93" s="704"/>
      <c r="QFP93" s="704"/>
      <c r="QFQ93" s="704"/>
      <c r="QFR93" s="704"/>
      <c r="QFS93" s="704"/>
      <c r="QFT93" s="704"/>
      <c r="QFU93" s="704"/>
      <c r="QFV93" s="704"/>
      <c r="QFW93" s="704"/>
      <c r="QFX93" s="704"/>
      <c r="QFY93" s="704"/>
      <c r="QFZ93" s="704"/>
      <c r="QGA93" s="704"/>
      <c r="QGB93" s="704"/>
      <c r="QGC93" s="704"/>
      <c r="QGD93" s="704"/>
      <c r="QGE93" s="704"/>
      <c r="QGF93" s="704"/>
      <c r="QGG93" s="704"/>
      <c r="QGH93" s="704"/>
      <c r="QGI93" s="704"/>
      <c r="QGJ93" s="704"/>
      <c r="QGK93" s="704"/>
      <c r="QGL93" s="704"/>
      <c r="QGM93" s="704"/>
      <c r="QGN93" s="704"/>
      <c r="QGO93" s="704"/>
      <c r="QGP93" s="704"/>
      <c r="QGQ93" s="704"/>
      <c r="QGR93" s="704"/>
      <c r="QGS93" s="704"/>
      <c r="QGT93" s="704"/>
      <c r="QGU93" s="704"/>
      <c r="QGV93" s="704"/>
      <c r="QGW93" s="704"/>
      <c r="QGX93" s="704"/>
      <c r="QGY93" s="704"/>
      <c r="QGZ93" s="704"/>
      <c r="QHA93" s="704"/>
      <c r="QHB93" s="704"/>
      <c r="QHC93" s="704"/>
      <c r="QHD93" s="704"/>
      <c r="QHE93" s="704"/>
      <c r="QHF93" s="704"/>
      <c r="QHG93" s="704"/>
      <c r="QHH93" s="704"/>
      <c r="QHI93" s="704"/>
      <c r="QHJ93" s="704"/>
      <c r="QHK93" s="704"/>
      <c r="QHL93" s="704"/>
      <c r="QHM93" s="704"/>
      <c r="QHN93" s="704"/>
      <c r="QHO93" s="704"/>
      <c r="QHP93" s="704"/>
      <c r="QHQ93" s="704"/>
      <c r="QHR93" s="704"/>
      <c r="QHS93" s="704"/>
      <c r="QHT93" s="704"/>
      <c r="QHU93" s="704"/>
      <c r="QHV93" s="704"/>
      <c r="QHW93" s="704"/>
      <c r="QHX93" s="704"/>
      <c r="QHY93" s="704"/>
      <c r="QHZ93" s="704"/>
      <c r="QIA93" s="704"/>
      <c r="QIB93" s="704"/>
      <c r="QIC93" s="704"/>
      <c r="QID93" s="704"/>
      <c r="QIE93" s="704"/>
      <c r="QIF93" s="704"/>
      <c r="QIG93" s="704"/>
      <c r="QIH93" s="704"/>
      <c r="QII93" s="704"/>
      <c r="QIJ93" s="704"/>
      <c r="QIK93" s="704"/>
      <c r="QIL93" s="704"/>
      <c r="QIM93" s="704"/>
      <c r="QIN93" s="704"/>
      <c r="QIO93" s="704"/>
      <c r="QIP93" s="704"/>
      <c r="QIQ93" s="704"/>
      <c r="QIR93" s="704"/>
      <c r="QIS93" s="704"/>
      <c r="QIT93" s="704"/>
      <c r="QIU93" s="704"/>
      <c r="QIV93" s="704"/>
      <c r="QIW93" s="704"/>
      <c r="QIX93" s="704"/>
      <c r="QIY93" s="704"/>
      <c r="QIZ93" s="704"/>
      <c r="QJA93" s="704"/>
      <c r="QJB93" s="704"/>
      <c r="QJC93" s="704"/>
      <c r="QJD93" s="704"/>
      <c r="QJE93" s="704"/>
      <c r="QJF93" s="704"/>
      <c r="QJG93" s="704"/>
      <c r="QJH93" s="704"/>
      <c r="QJI93" s="704"/>
      <c r="QJJ93" s="704"/>
      <c r="QJK93" s="704"/>
      <c r="QJL93" s="704"/>
      <c r="QJM93" s="704"/>
      <c r="QJN93" s="704"/>
      <c r="QJO93" s="704"/>
      <c r="QJP93" s="704"/>
      <c r="QJQ93" s="704"/>
      <c r="QJR93" s="704"/>
      <c r="QJS93" s="704"/>
      <c r="QJT93" s="704"/>
      <c r="QJU93" s="704"/>
      <c r="QJV93" s="704"/>
      <c r="QJW93" s="704"/>
      <c r="QKD93" s="704"/>
      <c r="QKE93" s="704"/>
      <c r="QKF93" s="704"/>
      <c r="QKG93" s="704"/>
      <c r="QKH93" s="704"/>
      <c r="QKI93" s="704"/>
      <c r="QKJ93" s="704"/>
      <c r="QKK93" s="704"/>
      <c r="QKL93" s="704"/>
      <c r="QKM93" s="704"/>
      <c r="QKN93" s="704"/>
      <c r="QKO93" s="704"/>
      <c r="QKP93" s="704"/>
      <c r="QKQ93" s="704"/>
      <c r="QKR93" s="704"/>
      <c r="QKS93" s="704"/>
      <c r="QKT93" s="704"/>
      <c r="QKU93" s="704"/>
      <c r="QKV93" s="704"/>
      <c r="QKW93" s="704"/>
      <c r="QKX93" s="704"/>
      <c r="QKY93" s="704"/>
      <c r="QKZ93" s="704"/>
      <c r="QLA93" s="704"/>
      <c r="QLB93" s="704"/>
      <c r="QLC93" s="704"/>
      <c r="QLD93" s="704"/>
      <c r="QLE93" s="704"/>
      <c r="QLF93" s="704"/>
      <c r="QLG93" s="704"/>
      <c r="QLH93" s="704"/>
      <c r="QLI93" s="704"/>
      <c r="QLJ93" s="704"/>
      <c r="QLK93" s="704"/>
      <c r="QLL93" s="704"/>
      <c r="QLM93" s="704"/>
      <c r="QLN93" s="704"/>
      <c r="QLO93" s="704"/>
      <c r="QLP93" s="704"/>
      <c r="QLQ93" s="704"/>
      <c r="QLR93" s="704"/>
      <c r="QLS93" s="704"/>
      <c r="QLT93" s="704"/>
      <c r="QLU93" s="704"/>
      <c r="QLV93" s="704"/>
      <c r="QLW93" s="704"/>
      <c r="QLX93" s="704"/>
      <c r="QLY93" s="704"/>
      <c r="QLZ93" s="704"/>
      <c r="QMA93" s="704"/>
      <c r="QMB93" s="704"/>
      <c r="QMC93" s="704"/>
      <c r="QMD93" s="704"/>
      <c r="QME93" s="704"/>
      <c r="QMF93" s="704"/>
      <c r="QMG93" s="704"/>
      <c r="QMH93" s="704"/>
      <c r="QMI93" s="704"/>
      <c r="QMJ93" s="704"/>
      <c r="QMK93" s="704"/>
      <c r="QML93" s="704"/>
      <c r="QMM93" s="704"/>
      <c r="QMN93" s="704"/>
      <c r="QMO93" s="704"/>
      <c r="QMP93" s="704"/>
      <c r="QMQ93" s="704"/>
      <c r="QMR93" s="704"/>
      <c r="QMS93" s="704"/>
      <c r="QMT93" s="704"/>
      <c r="QMU93" s="704"/>
      <c r="QMV93" s="704"/>
      <c r="QMW93" s="704"/>
      <c r="QMX93" s="704"/>
      <c r="QMY93" s="704"/>
      <c r="QMZ93" s="704"/>
      <c r="QNA93" s="704"/>
      <c r="QNB93" s="704"/>
      <c r="QNC93" s="704"/>
      <c r="QND93" s="704"/>
      <c r="QNE93" s="704"/>
      <c r="QNF93" s="704"/>
      <c r="QNG93" s="704"/>
      <c r="QNH93" s="704"/>
      <c r="QNI93" s="704"/>
      <c r="QNJ93" s="704"/>
      <c r="QNK93" s="704"/>
      <c r="QNL93" s="704"/>
      <c r="QNM93" s="704"/>
      <c r="QNN93" s="704"/>
      <c r="QNO93" s="704"/>
      <c r="QNP93" s="704"/>
      <c r="QNQ93" s="704"/>
      <c r="QNR93" s="704"/>
      <c r="QNS93" s="704"/>
      <c r="QNT93" s="704"/>
      <c r="QNU93" s="704"/>
      <c r="QNV93" s="704"/>
      <c r="QNW93" s="704"/>
      <c r="QNX93" s="704"/>
      <c r="QNY93" s="704"/>
      <c r="QNZ93" s="704"/>
      <c r="QOA93" s="704"/>
      <c r="QOB93" s="704"/>
      <c r="QOC93" s="704"/>
      <c r="QOD93" s="704"/>
      <c r="QOE93" s="704"/>
      <c r="QOF93" s="704"/>
      <c r="QOG93" s="704"/>
      <c r="QOH93" s="704"/>
      <c r="QOI93" s="704"/>
      <c r="QOJ93" s="704"/>
      <c r="QOK93" s="704"/>
      <c r="QOL93" s="704"/>
      <c r="QOM93" s="704"/>
      <c r="QON93" s="704"/>
      <c r="QOO93" s="704"/>
      <c r="QOP93" s="704"/>
      <c r="QOQ93" s="704"/>
      <c r="QOR93" s="704"/>
      <c r="QOS93" s="704"/>
      <c r="QOT93" s="704"/>
      <c r="QOU93" s="704"/>
      <c r="QOV93" s="704"/>
      <c r="QOW93" s="704"/>
      <c r="QOX93" s="704"/>
      <c r="QOY93" s="704"/>
      <c r="QOZ93" s="704"/>
      <c r="QPA93" s="704"/>
      <c r="QPB93" s="704"/>
      <c r="QPC93" s="704"/>
      <c r="QPD93" s="704"/>
      <c r="QPE93" s="704"/>
      <c r="QPF93" s="704"/>
      <c r="QPG93" s="704"/>
      <c r="QPH93" s="704"/>
      <c r="QPI93" s="704"/>
      <c r="QPJ93" s="704"/>
      <c r="QPK93" s="704"/>
      <c r="QPL93" s="704"/>
      <c r="QPM93" s="704"/>
      <c r="QPN93" s="704"/>
      <c r="QPO93" s="704"/>
      <c r="QPP93" s="704"/>
      <c r="QPQ93" s="704"/>
      <c r="QPR93" s="704"/>
      <c r="QPS93" s="704"/>
      <c r="QPT93" s="704"/>
      <c r="QPU93" s="704"/>
      <c r="QPV93" s="704"/>
      <c r="QPW93" s="704"/>
      <c r="QPX93" s="704"/>
      <c r="QPY93" s="704"/>
      <c r="QPZ93" s="704"/>
      <c r="QQA93" s="704"/>
      <c r="QQB93" s="704"/>
      <c r="QQC93" s="704"/>
      <c r="QQD93" s="704"/>
      <c r="QQE93" s="704"/>
      <c r="QQF93" s="704"/>
      <c r="QQG93" s="704"/>
      <c r="QQH93" s="704"/>
      <c r="QQI93" s="704"/>
      <c r="QQJ93" s="704"/>
      <c r="QQK93" s="704"/>
      <c r="QQL93" s="704"/>
      <c r="QQM93" s="704"/>
      <c r="QQN93" s="704"/>
      <c r="QQO93" s="704"/>
      <c r="QQP93" s="704"/>
      <c r="QQQ93" s="704"/>
      <c r="QQR93" s="704"/>
      <c r="QQS93" s="704"/>
      <c r="QQT93" s="704"/>
      <c r="QQU93" s="704"/>
      <c r="QQV93" s="704"/>
      <c r="QQW93" s="704"/>
      <c r="QQX93" s="704"/>
      <c r="QQY93" s="704"/>
      <c r="QQZ93" s="704"/>
      <c r="QRA93" s="704"/>
      <c r="QRB93" s="704"/>
      <c r="QRC93" s="704"/>
      <c r="QRD93" s="704"/>
      <c r="QRE93" s="704"/>
      <c r="QRF93" s="704"/>
      <c r="QRG93" s="704"/>
      <c r="QRH93" s="704"/>
      <c r="QRI93" s="704"/>
      <c r="QRJ93" s="704"/>
      <c r="QRK93" s="704"/>
      <c r="QRL93" s="704"/>
      <c r="QRM93" s="704"/>
      <c r="QRN93" s="704"/>
      <c r="QRO93" s="704"/>
      <c r="QRP93" s="704"/>
      <c r="QRQ93" s="704"/>
      <c r="QRR93" s="704"/>
      <c r="QRS93" s="704"/>
      <c r="QRT93" s="704"/>
      <c r="QRU93" s="704"/>
      <c r="QRV93" s="704"/>
      <c r="QRW93" s="704"/>
      <c r="QRX93" s="704"/>
      <c r="QRY93" s="704"/>
      <c r="QRZ93" s="704"/>
      <c r="QSA93" s="704"/>
      <c r="QSB93" s="704"/>
      <c r="QSC93" s="704"/>
      <c r="QSD93" s="704"/>
      <c r="QSE93" s="704"/>
      <c r="QSF93" s="704"/>
      <c r="QSG93" s="704"/>
      <c r="QSH93" s="704"/>
      <c r="QSI93" s="704"/>
      <c r="QSJ93" s="704"/>
      <c r="QSK93" s="704"/>
      <c r="QSL93" s="704"/>
      <c r="QSM93" s="704"/>
      <c r="QSN93" s="704"/>
      <c r="QSO93" s="704"/>
      <c r="QSP93" s="704"/>
      <c r="QSQ93" s="704"/>
      <c r="QSR93" s="704"/>
      <c r="QSS93" s="704"/>
      <c r="QST93" s="704"/>
      <c r="QSU93" s="704"/>
      <c r="QSV93" s="704"/>
      <c r="QSW93" s="704"/>
      <c r="QSX93" s="704"/>
      <c r="QSY93" s="704"/>
      <c r="QSZ93" s="704"/>
      <c r="QTA93" s="704"/>
      <c r="QTB93" s="704"/>
      <c r="QTC93" s="704"/>
      <c r="QTD93" s="704"/>
      <c r="QTE93" s="704"/>
      <c r="QTF93" s="704"/>
      <c r="QTG93" s="704"/>
      <c r="QTH93" s="704"/>
      <c r="QTI93" s="704"/>
      <c r="QTJ93" s="704"/>
      <c r="QTK93" s="704"/>
      <c r="QTL93" s="704"/>
      <c r="QTM93" s="704"/>
      <c r="QTN93" s="704"/>
      <c r="QTO93" s="704"/>
      <c r="QTP93" s="704"/>
      <c r="QTQ93" s="704"/>
      <c r="QTR93" s="704"/>
      <c r="QTS93" s="704"/>
      <c r="QTZ93" s="704"/>
      <c r="QUA93" s="704"/>
      <c r="QUB93" s="704"/>
      <c r="QUC93" s="704"/>
      <c r="QUD93" s="704"/>
      <c r="QUE93" s="704"/>
      <c r="QUF93" s="704"/>
      <c r="QUG93" s="704"/>
      <c r="QUH93" s="704"/>
      <c r="QUI93" s="704"/>
      <c r="QUJ93" s="704"/>
      <c r="QUK93" s="704"/>
      <c r="QUL93" s="704"/>
      <c r="QUM93" s="704"/>
      <c r="QUN93" s="704"/>
      <c r="QUO93" s="704"/>
      <c r="QUP93" s="704"/>
      <c r="QUQ93" s="704"/>
      <c r="QUR93" s="704"/>
      <c r="QUS93" s="704"/>
      <c r="QUT93" s="704"/>
      <c r="QUU93" s="704"/>
      <c r="QUV93" s="704"/>
      <c r="QUW93" s="704"/>
      <c r="QUX93" s="704"/>
      <c r="QUY93" s="704"/>
      <c r="QUZ93" s="704"/>
      <c r="QVA93" s="704"/>
      <c r="QVB93" s="704"/>
      <c r="QVC93" s="704"/>
      <c r="QVD93" s="704"/>
      <c r="QVE93" s="704"/>
      <c r="QVF93" s="704"/>
      <c r="QVG93" s="704"/>
      <c r="QVH93" s="704"/>
      <c r="QVI93" s="704"/>
      <c r="QVJ93" s="704"/>
      <c r="QVK93" s="704"/>
      <c r="QVL93" s="704"/>
      <c r="QVM93" s="704"/>
      <c r="QVN93" s="704"/>
      <c r="QVO93" s="704"/>
      <c r="QVP93" s="704"/>
      <c r="QVQ93" s="704"/>
      <c r="QVR93" s="704"/>
      <c r="QVS93" s="704"/>
      <c r="QVT93" s="704"/>
      <c r="QVU93" s="704"/>
      <c r="QVV93" s="704"/>
      <c r="QVW93" s="704"/>
      <c r="QVX93" s="704"/>
      <c r="QVY93" s="704"/>
      <c r="QVZ93" s="704"/>
      <c r="QWA93" s="704"/>
      <c r="QWB93" s="704"/>
      <c r="QWC93" s="704"/>
      <c r="QWD93" s="704"/>
      <c r="QWE93" s="704"/>
      <c r="QWF93" s="704"/>
      <c r="QWG93" s="704"/>
      <c r="QWH93" s="704"/>
      <c r="QWI93" s="704"/>
      <c r="QWJ93" s="704"/>
      <c r="QWK93" s="704"/>
      <c r="QWL93" s="704"/>
      <c r="QWM93" s="704"/>
      <c r="QWN93" s="704"/>
      <c r="QWO93" s="704"/>
      <c r="QWP93" s="704"/>
      <c r="QWQ93" s="704"/>
      <c r="QWR93" s="704"/>
      <c r="QWS93" s="704"/>
      <c r="QWT93" s="704"/>
      <c r="QWU93" s="704"/>
      <c r="QWV93" s="704"/>
      <c r="QWW93" s="704"/>
      <c r="QWX93" s="704"/>
      <c r="QWY93" s="704"/>
      <c r="QWZ93" s="704"/>
      <c r="QXA93" s="704"/>
      <c r="QXB93" s="704"/>
      <c r="QXC93" s="704"/>
      <c r="QXD93" s="704"/>
      <c r="QXE93" s="704"/>
      <c r="QXF93" s="704"/>
      <c r="QXG93" s="704"/>
      <c r="QXH93" s="704"/>
      <c r="QXI93" s="704"/>
      <c r="QXJ93" s="704"/>
      <c r="QXK93" s="704"/>
      <c r="QXL93" s="704"/>
      <c r="QXM93" s="704"/>
      <c r="QXN93" s="704"/>
      <c r="QXO93" s="704"/>
      <c r="QXP93" s="704"/>
      <c r="QXQ93" s="704"/>
      <c r="QXR93" s="704"/>
      <c r="QXS93" s="704"/>
      <c r="QXT93" s="704"/>
      <c r="QXU93" s="704"/>
      <c r="QXV93" s="704"/>
      <c r="QXW93" s="704"/>
      <c r="QXX93" s="704"/>
      <c r="QXY93" s="704"/>
      <c r="QXZ93" s="704"/>
      <c r="QYA93" s="704"/>
      <c r="QYB93" s="704"/>
      <c r="QYC93" s="704"/>
      <c r="QYD93" s="704"/>
      <c r="QYE93" s="704"/>
      <c r="QYF93" s="704"/>
      <c r="QYG93" s="704"/>
      <c r="QYH93" s="704"/>
      <c r="QYI93" s="704"/>
      <c r="QYJ93" s="704"/>
      <c r="QYK93" s="704"/>
      <c r="QYL93" s="704"/>
      <c r="QYM93" s="704"/>
      <c r="QYN93" s="704"/>
      <c r="QYO93" s="704"/>
      <c r="QYP93" s="704"/>
      <c r="QYQ93" s="704"/>
      <c r="QYR93" s="704"/>
      <c r="QYS93" s="704"/>
      <c r="QYT93" s="704"/>
      <c r="QYU93" s="704"/>
      <c r="QYV93" s="704"/>
      <c r="QYW93" s="704"/>
      <c r="QYX93" s="704"/>
      <c r="QYY93" s="704"/>
      <c r="QYZ93" s="704"/>
      <c r="QZA93" s="704"/>
      <c r="QZB93" s="704"/>
      <c r="QZC93" s="704"/>
      <c r="QZD93" s="704"/>
      <c r="QZE93" s="704"/>
      <c r="QZF93" s="704"/>
      <c r="QZG93" s="704"/>
      <c r="QZH93" s="704"/>
      <c r="QZI93" s="704"/>
      <c r="QZJ93" s="704"/>
      <c r="QZK93" s="704"/>
      <c r="QZL93" s="704"/>
      <c r="QZM93" s="704"/>
      <c r="QZN93" s="704"/>
      <c r="QZO93" s="704"/>
      <c r="QZP93" s="704"/>
      <c r="QZQ93" s="704"/>
      <c r="QZR93" s="704"/>
      <c r="QZS93" s="704"/>
      <c r="QZT93" s="704"/>
      <c r="QZU93" s="704"/>
      <c r="QZV93" s="704"/>
      <c r="QZW93" s="704"/>
      <c r="QZX93" s="704"/>
      <c r="QZY93" s="704"/>
      <c r="QZZ93" s="704"/>
      <c r="RAA93" s="704"/>
      <c r="RAB93" s="704"/>
      <c r="RAC93" s="704"/>
      <c r="RAD93" s="704"/>
      <c r="RAE93" s="704"/>
      <c r="RAF93" s="704"/>
      <c r="RAG93" s="704"/>
      <c r="RAH93" s="704"/>
      <c r="RAI93" s="704"/>
      <c r="RAJ93" s="704"/>
      <c r="RAK93" s="704"/>
      <c r="RAL93" s="704"/>
      <c r="RAM93" s="704"/>
      <c r="RAN93" s="704"/>
      <c r="RAO93" s="704"/>
      <c r="RAP93" s="704"/>
      <c r="RAQ93" s="704"/>
      <c r="RAR93" s="704"/>
      <c r="RAS93" s="704"/>
      <c r="RAT93" s="704"/>
      <c r="RAU93" s="704"/>
      <c r="RAV93" s="704"/>
      <c r="RAW93" s="704"/>
      <c r="RAX93" s="704"/>
      <c r="RAY93" s="704"/>
      <c r="RAZ93" s="704"/>
      <c r="RBA93" s="704"/>
      <c r="RBB93" s="704"/>
      <c r="RBC93" s="704"/>
      <c r="RBD93" s="704"/>
      <c r="RBE93" s="704"/>
      <c r="RBF93" s="704"/>
      <c r="RBG93" s="704"/>
      <c r="RBH93" s="704"/>
      <c r="RBI93" s="704"/>
      <c r="RBJ93" s="704"/>
      <c r="RBK93" s="704"/>
      <c r="RBL93" s="704"/>
      <c r="RBM93" s="704"/>
      <c r="RBN93" s="704"/>
      <c r="RBO93" s="704"/>
      <c r="RBP93" s="704"/>
      <c r="RBQ93" s="704"/>
      <c r="RBR93" s="704"/>
      <c r="RBS93" s="704"/>
      <c r="RBT93" s="704"/>
      <c r="RBU93" s="704"/>
      <c r="RBV93" s="704"/>
      <c r="RBW93" s="704"/>
      <c r="RBX93" s="704"/>
      <c r="RBY93" s="704"/>
      <c r="RBZ93" s="704"/>
      <c r="RCA93" s="704"/>
      <c r="RCB93" s="704"/>
      <c r="RCC93" s="704"/>
      <c r="RCD93" s="704"/>
      <c r="RCE93" s="704"/>
      <c r="RCF93" s="704"/>
      <c r="RCG93" s="704"/>
      <c r="RCH93" s="704"/>
      <c r="RCI93" s="704"/>
      <c r="RCJ93" s="704"/>
      <c r="RCK93" s="704"/>
      <c r="RCL93" s="704"/>
      <c r="RCM93" s="704"/>
      <c r="RCN93" s="704"/>
      <c r="RCO93" s="704"/>
      <c r="RCP93" s="704"/>
      <c r="RCQ93" s="704"/>
      <c r="RCR93" s="704"/>
      <c r="RCS93" s="704"/>
      <c r="RCT93" s="704"/>
      <c r="RCU93" s="704"/>
      <c r="RCV93" s="704"/>
      <c r="RCW93" s="704"/>
      <c r="RCX93" s="704"/>
      <c r="RCY93" s="704"/>
      <c r="RCZ93" s="704"/>
      <c r="RDA93" s="704"/>
      <c r="RDB93" s="704"/>
      <c r="RDC93" s="704"/>
      <c r="RDD93" s="704"/>
      <c r="RDE93" s="704"/>
      <c r="RDF93" s="704"/>
      <c r="RDG93" s="704"/>
      <c r="RDH93" s="704"/>
      <c r="RDI93" s="704"/>
      <c r="RDJ93" s="704"/>
      <c r="RDK93" s="704"/>
      <c r="RDL93" s="704"/>
      <c r="RDM93" s="704"/>
      <c r="RDN93" s="704"/>
      <c r="RDO93" s="704"/>
      <c r="RDV93" s="704"/>
      <c r="RDW93" s="704"/>
      <c r="RDX93" s="704"/>
      <c r="RDY93" s="704"/>
      <c r="RDZ93" s="704"/>
      <c r="REA93" s="704"/>
      <c r="REB93" s="704"/>
      <c r="REC93" s="704"/>
      <c r="RED93" s="704"/>
      <c r="REE93" s="704"/>
      <c r="REF93" s="704"/>
      <c r="REG93" s="704"/>
      <c r="REH93" s="704"/>
      <c r="REI93" s="704"/>
      <c r="REJ93" s="704"/>
      <c r="REK93" s="704"/>
      <c r="REL93" s="704"/>
      <c r="REM93" s="704"/>
      <c r="REN93" s="704"/>
      <c r="REO93" s="704"/>
      <c r="REP93" s="704"/>
      <c r="REQ93" s="704"/>
      <c r="RER93" s="704"/>
      <c r="RES93" s="704"/>
      <c r="RET93" s="704"/>
      <c r="REU93" s="704"/>
      <c r="REV93" s="704"/>
      <c r="REW93" s="704"/>
      <c r="REX93" s="704"/>
      <c r="REY93" s="704"/>
      <c r="REZ93" s="704"/>
      <c r="RFA93" s="704"/>
      <c r="RFB93" s="704"/>
      <c r="RFC93" s="704"/>
      <c r="RFD93" s="704"/>
      <c r="RFE93" s="704"/>
      <c r="RFF93" s="704"/>
      <c r="RFG93" s="704"/>
      <c r="RFH93" s="704"/>
      <c r="RFI93" s="704"/>
      <c r="RFJ93" s="704"/>
      <c r="RFK93" s="704"/>
      <c r="RFL93" s="704"/>
      <c r="RFM93" s="704"/>
      <c r="RFN93" s="704"/>
      <c r="RFO93" s="704"/>
      <c r="RFP93" s="704"/>
      <c r="RFQ93" s="704"/>
      <c r="RFR93" s="704"/>
      <c r="RFS93" s="704"/>
      <c r="RFT93" s="704"/>
      <c r="RFU93" s="704"/>
      <c r="RFV93" s="704"/>
      <c r="RFW93" s="704"/>
      <c r="RFX93" s="704"/>
      <c r="RFY93" s="704"/>
      <c r="RFZ93" s="704"/>
      <c r="RGA93" s="704"/>
      <c r="RGB93" s="704"/>
      <c r="RGC93" s="704"/>
      <c r="RGD93" s="704"/>
      <c r="RGE93" s="704"/>
      <c r="RGF93" s="704"/>
      <c r="RGG93" s="704"/>
      <c r="RGH93" s="704"/>
      <c r="RGI93" s="704"/>
      <c r="RGJ93" s="704"/>
      <c r="RGK93" s="704"/>
      <c r="RGL93" s="704"/>
      <c r="RGM93" s="704"/>
      <c r="RGN93" s="704"/>
      <c r="RGO93" s="704"/>
      <c r="RGP93" s="704"/>
      <c r="RGQ93" s="704"/>
      <c r="RGR93" s="704"/>
      <c r="RGS93" s="704"/>
      <c r="RGT93" s="704"/>
      <c r="RGU93" s="704"/>
      <c r="RGV93" s="704"/>
      <c r="RGW93" s="704"/>
      <c r="RGX93" s="704"/>
      <c r="RGY93" s="704"/>
      <c r="RGZ93" s="704"/>
      <c r="RHA93" s="704"/>
      <c r="RHB93" s="704"/>
      <c r="RHC93" s="704"/>
      <c r="RHD93" s="704"/>
      <c r="RHE93" s="704"/>
      <c r="RHF93" s="704"/>
      <c r="RHG93" s="704"/>
      <c r="RHH93" s="704"/>
      <c r="RHI93" s="704"/>
      <c r="RHJ93" s="704"/>
      <c r="RHK93" s="704"/>
      <c r="RHL93" s="704"/>
      <c r="RHM93" s="704"/>
      <c r="RHN93" s="704"/>
      <c r="RHO93" s="704"/>
      <c r="RHP93" s="704"/>
      <c r="RHQ93" s="704"/>
      <c r="RHR93" s="704"/>
      <c r="RHS93" s="704"/>
      <c r="RHT93" s="704"/>
      <c r="RHU93" s="704"/>
      <c r="RHV93" s="704"/>
      <c r="RHW93" s="704"/>
      <c r="RHX93" s="704"/>
      <c r="RHY93" s="704"/>
      <c r="RHZ93" s="704"/>
      <c r="RIA93" s="704"/>
      <c r="RIB93" s="704"/>
      <c r="RIC93" s="704"/>
      <c r="RID93" s="704"/>
      <c r="RIE93" s="704"/>
      <c r="RIF93" s="704"/>
      <c r="RIG93" s="704"/>
      <c r="RIH93" s="704"/>
      <c r="RII93" s="704"/>
      <c r="RIJ93" s="704"/>
      <c r="RIK93" s="704"/>
      <c r="RIL93" s="704"/>
      <c r="RIM93" s="704"/>
      <c r="RIN93" s="704"/>
      <c r="RIO93" s="704"/>
      <c r="RIP93" s="704"/>
      <c r="RIQ93" s="704"/>
      <c r="RIR93" s="704"/>
      <c r="RIS93" s="704"/>
      <c r="RIT93" s="704"/>
      <c r="RIU93" s="704"/>
      <c r="RIV93" s="704"/>
      <c r="RIW93" s="704"/>
      <c r="RIX93" s="704"/>
      <c r="RIY93" s="704"/>
      <c r="RIZ93" s="704"/>
      <c r="RJA93" s="704"/>
      <c r="RJB93" s="704"/>
      <c r="RJC93" s="704"/>
      <c r="RJD93" s="704"/>
      <c r="RJE93" s="704"/>
      <c r="RJF93" s="704"/>
      <c r="RJG93" s="704"/>
      <c r="RJH93" s="704"/>
      <c r="RJI93" s="704"/>
      <c r="RJJ93" s="704"/>
      <c r="RJK93" s="704"/>
      <c r="RJL93" s="704"/>
      <c r="RJM93" s="704"/>
      <c r="RJN93" s="704"/>
      <c r="RJO93" s="704"/>
      <c r="RJP93" s="704"/>
      <c r="RJQ93" s="704"/>
      <c r="RJR93" s="704"/>
      <c r="RJS93" s="704"/>
      <c r="RJT93" s="704"/>
      <c r="RJU93" s="704"/>
      <c r="RJV93" s="704"/>
      <c r="RJW93" s="704"/>
      <c r="RJX93" s="704"/>
      <c r="RJY93" s="704"/>
      <c r="RJZ93" s="704"/>
      <c r="RKA93" s="704"/>
      <c r="RKB93" s="704"/>
      <c r="RKC93" s="704"/>
      <c r="RKD93" s="704"/>
      <c r="RKE93" s="704"/>
      <c r="RKF93" s="704"/>
      <c r="RKG93" s="704"/>
      <c r="RKH93" s="704"/>
      <c r="RKI93" s="704"/>
      <c r="RKJ93" s="704"/>
      <c r="RKK93" s="704"/>
      <c r="RKL93" s="704"/>
      <c r="RKM93" s="704"/>
      <c r="RKN93" s="704"/>
      <c r="RKO93" s="704"/>
      <c r="RKP93" s="704"/>
      <c r="RKQ93" s="704"/>
      <c r="RKR93" s="704"/>
      <c r="RKS93" s="704"/>
      <c r="RKT93" s="704"/>
      <c r="RKU93" s="704"/>
      <c r="RKV93" s="704"/>
      <c r="RKW93" s="704"/>
      <c r="RKX93" s="704"/>
      <c r="RKY93" s="704"/>
      <c r="RKZ93" s="704"/>
      <c r="RLA93" s="704"/>
      <c r="RLB93" s="704"/>
      <c r="RLC93" s="704"/>
      <c r="RLD93" s="704"/>
      <c r="RLE93" s="704"/>
      <c r="RLF93" s="704"/>
      <c r="RLG93" s="704"/>
      <c r="RLH93" s="704"/>
      <c r="RLI93" s="704"/>
      <c r="RLJ93" s="704"/>
      <c r="RLK93" s="704"/>
      <c r="RLL93" s="704"/>
      <c r="RLM93" s="704"/>
      <c r="RLN93" s="704"/>
      <c r="RLO93" s="704"/>
      <c r="RLP93" s="704"/>
      <c r="RLQ93" s="704"/>
      <c r="RLR93" s="704"/>
      <c r="RLS93" s="704"/>
      <c r="RLT93" s="704"/>
      <c r="RLU93" s="704"/>
      <c r="RLV93" s="704"/>
      <c r="RLW93" s="704"/>
      <c r="RLX93" s="704"/>
      <c r="RLY93" s="704"/>
      <c r="RLZ93" s="704"/>
      <c r="RMA93" s="704"/>
      <c r="RMB93" s="704"/>
      <c r="RMC93" s="704"/>
      <c r="RMD93" s="704"/>
      <c r="RME93" s="704"/>
      <c r="RMF93" s="704"/>
      <c r="RMG93" s="704"/>
      <c r="RMH93" s="704"/>
      <c r="RMI93" s="704"/>
      <c r="RMJ93" s="704"/>
      <c r="RMK93" s="704"/>
      <c r="RML93" s="704"/>
      <c r="RMM93" s="704"/>
      <c r="RMN93" s="704"/>
      <c r="RMO93" s="704"/>
      <c r="RMP93" s="704"/>
      <c r="RMQ93" s="704"/>
      <c r="RMR93" s="704"/>
      <c r="RMS93" s="704"/>
      <c r="RMT93" s="704"/>
      <c r="RMU93" s="704"/>
      <c r="RMV93" s="704"/>
      <c r="RMW93" s="704"/>
      <c r="RMX93" s="704"/>
      <c r="RMY93" s="704"/>
      <c r="RMZ93" s="704"/>
      <c r="RNA93" s="704"/>
      <c r="RNB93" s="704"/>
      <c r="RNC93" s="704"/>
      <c r="RND93" s="704"/>
      <c r="RNE93" s="704"/>
      <c r="RNF93" s="704"/>
      <c r="RNG93" s="704"/>
      <c r="RNH93" s="704"/>
      <c r="RNI93" s="704"/>
      <c r="RNJ93" s="704"/>
      <c r="RNK93" s="704"/>
      <c r="RNR93" s="704"/>
      <c r="RNS93" s="704"/>
      <c r="RNT93" s="704"/>
      <c r="RNU93" s="704"/>
      <c r="RNV93" s="704"/>
      <c r="RNW93" s="704"/>
      <c r="RNX93" s="704"/>
      <c r="RNY93" s="704"/>
      <c r="RNZ93" s="704"/>
      <c r="ROA93" s="704"/>
      <c r="ROB93" s="704"/>
      <c r="ROC93" s="704"/>
      <c r="ROD93" s="704"/>
      <c r="ROE93" s="704"/>
      <c r="ROF93" s="704"/>
      <c r="ROG93" s="704"/>
      <c r="ROH93" s="704"/>
      <c r="ROI93" s="704"/>
      <c r="ROJ93" s="704"/>
      <c r="ROK93" s="704"/>
      <c r="ROL93" s="704"/>
      <c r="ROM93" s="704"/>
      <c r="RON93" s="704"/>
      <c r="ROO93" s="704"/>
      <c r="ROP93" s="704"/>
      <c r="ROQ93" s="704"/>
      <c r="ROR93" s="704"/>
      <c r="ROS93" s="704"/>
      <c r="ROT93" s="704"/>
      <c r="ROU93" s="704"/>
      <c r="ROV93" s="704"/>
      <c r="ROW93" s="704"/>
      <c r="ROX93" s="704"/>
      <c r="ROY93" s="704"/>
      <c r="ROZ93" s="704"/>
      <c r="RPA93" s="704"/>
      <c r="RPB93" s="704"/>
      <c r="RPC93" s="704"/>
      <c r="RPD93" s="704"/>
      <c r="RPE93" s="704"/>
      <c r="RPF93" s="704"/>
      <c r="RPG93" s="704"/>
      <c r="RPH93" s="704"/>
      <c r="RPI93" s="704"/>
      <c r="RPJ93" s="704"/>
      <c r="RPK93" s="704"/>
      <c r="RPL93" s="704"/>
      <c r="RPM93" s="704"/>
      <c r="RPN93" s="704"/>
      <c r="RPO93" s="704"/>
      <c r="RPP93" s="704"/>
      <c r="RPQ93" s="704"/>
      <c r="RPR93" s="704"/>
      <c r="RPS93" s="704"/>
      <c r="RPT93" s="704"/>
      <c r="RPU93" s="704"/>
      <c r="RPV93" s="704"/>
      <c r="RPW93" s="704"/>
      <c r="RPX93" s="704"/>
      <c r="RPY93" s="704"/>
      <c r="RPZ93" s="704"/>
      <c r="RQA93" s="704"/>
      <c r="RQB93" s="704"/>
      <c r="RQC93" s="704"/>
      <c r="RQD93" s="704"/>
      <c r="RQE93" s="704"/>
      <c r="RQF93" s="704"/>
      <c r="RQG93" s="704"/>
      <c r="RQH93" s="704"/>
      <c r="RQI93" s="704"/>
      <c r="RQJ93" s="704"/>
      <c r="RQK93" s="704"/>
      <c r="RQL93" s="704"/>
      <c r="RQM93" s="704"/>
      <c r="RQN93" s="704"/>
      <c r="RQO93" s="704"/>
      <c r="RQP93" s="704"/>
      <c r="RQQ93" s="704"/>
      <c r="RQR93" s="704"/>
      <c r="RQS93" s="704"/>
      <c r="RQT93" s="704"/>
      <c r="RQU93" s="704"/>
      <c r="RQV93" s="704"/>
      <c r="RQW93" s="704"/>
      <c r="RQX93" s="704"/>
      <c r="RQY93" s="704"/>
      <c r="RQZ93" s="704"/>
      <c r="RRA93" s="704"/>
      <c r="RRB93" s="704"/>
      <c r="RRC93" s="704"/>
      <c r="RRD93" s="704"/>
      <c r="RRE93" s="704"/>
      <c r="RRF93" s="704"/>
      <c r="RRG93" s="704"/>
      <c r="RRH93" s="704"/>
      <c r="RRI93" s="704"/>
      <c r="RRJ93" s="704"/>
      <c r="RRK93" s="704"/>
      <c r="RRL93" s="704"/>
      <c r="RRM93" s="704"/>
      <c r="RRN93" s="704"/>
      <c r="RRO93" s="704"/>
      <c r="RRP93" s="704"/>
      <c r="RRQ93" s="704"/>
      <c r="RRR93" s="704"/>
      <c r="RRS93" s="704"/>
      <c r="RRT93" s="704"/>
      <c r="RRU93" s="704"/>
      <c r="RRV93" s="704"/>
      <c r="RRW93" s="704"/>
      <c r="RRX93" s="704"/>
      <c r="RRY93" s="704"/>
      <c r="RRZ93" s="704"/>
      <c r="RSA93" s="704"/>
      <c r="RSB93" s="704"/>
      <c r="RSC93" s="704"/>
      <c r="RSD93" s="704"/>
      <c r="RSE93" s="704"/>
      <c r="RSF93" s="704"/>
      <c r="RSG93" s="704"/>
      <c r="RSH93" s="704"/>
      <c r="RSI93" s="704"/>
      <c r="RSJ93" s="704"/>
      <c r="RSK93" s="704"/>
      <c r="RSL93" s="704"/>
      <c r="RSM93" s="704"/>
      <c r="RSN93" s="704"/>
      <c r="RSO93" s="704"/>
      <c r="RSP93" s="704"/>
      <c r="RSQ93" s="704"/>
      <c r="RSR93" s="704"/>
      <c r="RSS93" s="704"/>
      <c r="RST93" s="704"/>
      <c r="RSU93" s="704"/>
      <c r="RSV93" s="704"/>
      <c r="RSW93" s="704"/>
      <c r="RSX93" s="704"/>
      <c r="RSY93" s="704"/>
      <c r="RSZ93" s="704"/>
      <c r="RTA93" s="704"/>
      <c r="RTB93" s="704"/>
      <c r="RTC93" s="704"/>
      <c r="RTD93" s="704"/>
      <c r="RTE93" s="704"/>
      <c r="RTF93" s="704"/>
      <c r="RTG93" s="704"/>
      <c r="RTH93" s="704"/>
      <c r="RTI93" s="704"/>
      <c r="RTJ93" s="704"/>
      <c r="RTK93" s="704"/>
      <c r="RTL93" s="704"/>
      <c r="RTM93" s="704"/>
      <c r="RTN93" s="704"/>
      <c r="RTO93" s="704"/>
      <c r="RTP93" s="704"/>
      <c r="RTQ93" s="704"/>
      <c r="RTR93" s="704"/>
      <c r="RTS93" s="704"/>
      <c r="RTT93" s="704"/>
      <c r="RTU93" s="704"/>
      <c r="RTV93" s="704"/>
      <c r="RTW93" s="704"/>
      <c r="RTX93" s="704"/>
      <c r="RTY93" s="704"/>
      <c r="RTZ93" s="704"/>
      <c r="RUA93" s="704"/>
      <c r="RUB93" s="704"/>
      <c r="RUC93" s="704"/>
      <c r="RUD93" s="704"/>
      <c r="RUE93" s="704"/>
      <c r="RUF93" s="704"/>
      <c r="RUG93" s="704"/>
      <c r="RUH93" s="704"/>
      <c r="RUI93" s="704"/>
      <c r="RUJ93" s="704"/>
      <c r="RUK93" s="704"/>
      <c r="RUL93" s="704"/>
      <c r="RUM93" s="704"/>
      <c r="RUN93" s="704"/>
      <c r="RUO93" s="704"/>
      <c r="RUP93" s="704"/>
      <c r="RUQ93" s="704"/>
      <c r="RUR93" s="704"/>
      <c r="RUS93" s="704"/>
      <c r="RUT93" s="704"/>
      <c r="RUU93" s="704"/>
      <c r="RUV93" s="704"/>
      <c r="RUW93" s="704"/>
      <c r="RUX93" s="704"/>
      <c r="RUY93" s="704"/>
      <c r="RUZ93" s="704"/>
      <c r="RVA93" s="704"/>
      <c r="RVB93" s="704"/>
      <c r="RVC93" s="704"/>
      <c r="RVD93" s="704"/>
      <c r="RVE93" s="704"/>
      <c r="RVF93" s="704"/>
      <c r="RVG93" s="704"/>
      <c r="RVH93" s="704"/>
      <c r="RVI93" s="704"/>
      <c r="RVJ93" s="704"/>
      <c r="RVK93" s="704"/>
      <c r="RVL93" s="704"/>
      <c r="RVM93" s="704"/>
      <c r="RVN93" s="704"/>
      <c r="RVO93" s="704"/>
      <c r="RVP93" s="704"/>
      <c r="RVQ93" s="704"/>
      <c r="RVR93" s="704"/>
      <c r="RVS93" s="704"/>
      <c r="RVT93" s="704"/>
      <c r="RVU93" s="704"/>
      <c r="RVV93" s="704"/>
      <c r="RVW93" s="704"/>
      <c r="RVX93" s="704"/>
      <c r="RVY93" s="704"/>
      <c r="RVZ93" s="704"/>
      <c r="RWA93" s="704"/>
      <c r="RWB93" s="704"/>
      <c r="RWC93" s="704"/>
      <c r="RWD93" s="704"/>
      <c r="RWE93" s="704"/>
      <c r="RWF93" s="704"/>
      <c r="RWG93" s="704"/>
      <c r="RWH93" s="704"/>
      <c r="RWI93" s="704"/>
      <c r="RWJ93" s="704"/>
      <c r="RWK93" s="704"/>
      <c r="RWL93" s="704"/>
      <c r="RWM93" s="704"/>
      <c r="RWN93" s="704"/>
      <c r="RWO93" s="704"/>
      <c r="RWP93" s="704"/>
      <c r="RWQ93" s="704"/>
      <c r="RWR93" s="704"/>
      <c r="RWS93" s="704"/>
      <c r="RWT93" s="704"/>
      <c r="RWU93" s="704"/>
      <c r="RWV93" s="704"/>
      <c r="RWW93" s="704"/>
      <c r="RWX93" s="704"/>
      <c r="RWY93" s="704"/>
      <c r="RWZ93" s="704"/>
      <c r="RXA93" s="704"/>
      <c r="RXB93" s="704"/>
      <c r="RXC93" s="704"/>
      <c r="RXD93" s="704"/>
      <c r="RXE93" s="704"/>
      <c r="RXF93" s="704"/>
      <c r="RXG93" s="704"/>
      <c r="RXN93" s="704"/>
      <c r="RXO93" s="704"/>
      <c r="RXP93" s="704"/>
      <c r="RXQ93" s="704"/>
      <c r="RXR93" s="704"/>
      <c r="RXS93" s="704"/>
      <c r="RXT93" s="704"/>
      <c r="RXU93" s="704"/>
      <c r="RXV93" s="704"/>
      <c r="RXW93" s="704"/>
      <c r="RXX93" s="704"/>
      <c r="RXY93" s="704"/>
      <c r="RXZ93" s="704"/>
      <c r="RYA93" s="704"/>
      <c r="RYB93" s="704"/>
      <c r="RYC93" s="704"/>
      <c r="RYD93" s="704"/>
      <c r="RYE93" s="704"/>
      <c r="RYF93" s="704"/>
      <c r="RYG93" s="704"/>
      <c r="RYH93" s="704"/>
      <c r="RYI93" s="704"/>
      <c r="RYJ93" s="704"/>
      <c r="RYK93" s="704"/>
      <c r="RYL93" s="704"/>
      <c r="RYM93" s="704"/>
      <c r="RYN93" s="704"/>
      <c r="RYO93" s="704"/>
      <c r="RYP93" s="704"/>
      <c r="RYQ93" s="704"/>
      <c r="RYR93" s="704"/>
      <c r="RYS93" s="704"/>
      <c r="RYT93" s="704"/>
      <c r="RYU93" s="704"/>
      <c r="RYV93" s="704"/>
      <c r="RYW93" s="704"/>
      <c r="RYX93" s="704"/>
      <c r="RYY93" s="704"/>
      <c r="RYZ93" s="704"/>
      <c r="RZA93" s="704"/>
      <c r="RZB93" s="704"/>
      <c r="RZC93" s="704"/>
      <c r="RZD93" s="704"/>
      <c r="RZE93" s="704"/>
      <c r="RZF93" s="704"/>
      <c r="RZG93" s="704"/>
      <c r="RZH93" s="704"/>
      <c r="RZI93" s="704"/>
      <c r="RZJ93" s="704"/>
      <c r="RZK93" s="704"/>
      <c r="RZL93" s="704"/>
      <c r="RZM93" s="704"/>
      <c r="RZN93" s="704"/>
      <c r="RZO93" s="704"/>
      <c r="RZP93" s="704"/>
      <c r="RZQ93" s="704"/>
      <c r="RZR93" s="704"/>
      <c r="RZS93" s="704"/>
      <c r="RZT93" s="704"/>
      <c r="RZU93" s="704"/>
      <c r="RZV93" s="704"/>
      <c r="RZW93" s="704"/>
      <c r="RZX93" s="704"/>
      <c r="RZY93" s="704"/>
      <c r="RZZ93" s="704"/>
      <c r="SAA93" s="704"/>
      <c r="SAB93" s="704"/>
      <c r="SAC93" s="704"/>
      <c r="SAD93" s="704"/>
      <c r="SAE93" s="704"/>
      <c r="SAF93" s="704"/>
      <c r="SAG93" s="704"/>
      <c r="SAH93" s="704"/>
      <c r="SAI93" s="704"/>
      <c r="SAJ93" s="704"/>
      <c r="SAK93" s="704"/>
      <c r="SAL93" s="704"/>
      <c r="SAM93" s="704"/>
      <c r="SAN93" s="704"/>
      <c r="SAO93" s="704"/>
      <c r="SAP93" s="704"/>
      <c r="SAQ93" s="704"/>
      <c r="SAR93" s="704"/>
      <c r="SAS93" s="704"/>
      <c r="SAT93" s="704"/>
      <c r="SAU93" s="704"/>
      <c r="SAV93" s="704"/>
      <c r="SAW93" s="704"/>
      <c r="SAX93" s="704"/>
      <c r="SAY93" s="704"/>
      <c r="SAZ93" s="704"/>
      <c r="SBA93" s="704"/>
      <c r="SBB93" s="704"/>
      <c r="SBC93" s="704"/>
      <c r="SBD93" s="704"/>
      <c r="SBE93" s="704"/>
      <c r="SBF93" s="704"/>
      <c r="SBG93" s="704"/>
      <c r="SBH93" s="704"/>
      <c r="SBI93" s="704"/>
      <c r="SBJ93" s="704"/>
      <c r="SBK93" s="704"/>
      <c r="SBL93" s="704"/>
      <c r="SBM93" s="704"/>
      <c r="SBN93" s="704"/>
      <c r="SBO93" s="704"/>
      <c r="SBP93" s="704"/>
      <c r="SBQ93" s="704"/>
      <c r="SBR93" s="704"/>
      <c r="SBS93" s="704"/>
      <c r="SBT93" s="704"/>
      <c r="SBU93" s="704"/>
      <c r="SBV93" s="704"/>
      <c r="SBW93" s="704"/>
      <c r="SBX93" s="704"/>
      <c r="SBY93" s="704"/>
      <c r="SBZ93" s="704"/>
      <c r="SCA93" s="704"/>
      <c r="SCB93" s="704"/>
      <c r="SCC93" s="704"/>
      <c r="SCD93" s="704"/>
      <c r="SCE93" s="704"/>
      <c r="SCF93" s="704"/>
      <c r="SCG93" s="704"/>
      <c r="SCH93" s="704"/>
      <c r="SCI93" s="704"/>
      <c r="SCJ93" s="704"/>
      <c r="SCK93" s="704"/>
      <c r="SCL93" s="704"/>
      <c r="SCM93" s="704"/>
      <c r="SCN93" s="704"/>
      <c r="SCO93" s="704"/>
      <c r="SCP93" s="704"/>
      <c r="SCQ93" s="704"/>
      <c r="SCR93" s="704"/>
      <c r="SCS93" s="704"/>
      <c r="SCT93" s="704"/>
      <c r="SCU93" s="704"/>
      <c r="SCV93" s="704"/>
      <c r="SCW93" s="704"/>
      <c r="SCX93" s="704"/>
      <c r="SCY93" s="704"/>
      <c r="SCZ93" s="704"/>
      <c r="SDA93" s="704"/>
      <c r="SDB93" s="704"/>
      <c r="SDC93" s="704"/>
      <c r="SDD93" s="704"/>
      <c r="SDE93" s="704"/>
      <c r="SDF93" s="704"/>
      <c r="SDG93" s="704"/>
      <c r="SDH93" s="704"/>
      <c r="SDI93" s="704"/>
      <c r="SDJ93" s="704"/>
      <c r="SDK93" s="704"/>
      <c r="SDL93" s="704"/>
      <c r="SDM93" s="704"/>
      <c r="SDN93" s="704"/>
      <c r="SDO93" s="704"/>
      <c r="SDP93" s="704"/>
      <c r="SDQ93" s="704"/>
      <c r="SDR93" s="704"/>
      <c r="SDS93" s="704"/>
      <c r="SDT93" s="704"/>
      <c r="SDU93" s="704"/>
      <c r="SDV93" s="704"/>
      <c r="SDW93" s="704"/>
      <c r="SDX93" s="704"/>
      <c r="SDY93" s="704"/>
      <c r="SDZ93" s="704"/>
      <c r="SEA93" s="704"/>
      <c r="SEB93" s="704"/>
      <c r="SEC93" s="704"/>
      <c r="SED93" s="704"/>
      <c r="SEE93" s="704"/>
      <c r="SEF93" s="704"/>
      <c r="SEG93" s="704"/>
      <c r="SEH93" s="704"/>
      <c r="SEI93" s="704"/>
      <c r="SEJ93" s="704"/>
      <c r="SEK93" s="704"/>
      <c r="SEL93" s="704"/>
      <c r="SEM93" s="704"/>
      <c r="SEN93" s="704"/>
      <c r="SEO93" s="704"/>
      <c r="SEP93" s="704"/>
      <c r="SEQ93" s="704"/>
      <c r="SER93" s="704"/>
      <c r="SES93" s="704"/>
      <c r="SET93" s="704"/>
      <c r="SEU93" s="704"/>
      <c r="SEV93" s="704"/>
      <c r="SEW93" s="704"/>
      <c r="SEX93" s="704"/>
      <c r="SEY93" s="704"/>
      <c r="SEZ93" s="704"/>
      <c r="SFA93" s="704"/>
      <c r="SFB93" s="704"/>
      <c r="SFC93" s="704"/>
      <c r="SFD93" s="704"/>
      <c r="SFE93" s="704"/>
      <c r="SFF93" s="704"/>
      <c r="SFG93" s="704"/>
      <c r="SFH93" s="704"/>
      <c r="SFI93" s="704"/>
      <c r="SFJ93" s="704"/>
      <c r="SFK93" s="704"/>
      <c r="SFL93" s="704"/>
      <c r="SFM93" s="704"/>
      <c r="SFN93" s="704"/>
      <c r="SFO93" s="704"/>
      <c r="SFP93" s="704"/>
      <c r="SFQ93" s="704"/>
      <c r="SFR93" s="704"/>
      <c r="SFS93" s="704"/>
      <c r="SFT93" s="704"/>
      <c r="SFU93" s="704"/>
      <c r="SFV93" s="704"/>
      <c r="SFW93" s="704"/>
      <c r="SFX93" s="704"/>
      <c r="SFY93" s="704"/>
      <c r="SFZ93" s="704"/>
      <c r="SGA93" s="704"/>
      <c r="SGB93" s="704"/>
      <c r="SGC93" s="704"/>
      <c r="SGD93" s="704"/>
      <c r="SGE93" s="704"/>
      <c r="SGF93" s="704"/>
      <c r="SGG93" s="704"/>
      <c r="SGH93" s="704"/>
      <c r="SGI93" s="704"/>
      <c r="SGJ93" s="704"/>
      <c r="SGK93" s="704"/>
      <c r="SGL93" s="704"/>
      <c r="SGM93" s="704"/>
      <c r="SGN93" s="704"/>
      <c r="SGO93" s="704"/>
      <c r="SGP93" s="704"/>
      <c r="SGQ93" s="704"/>
      <c r="SGR93" s="704"/>
      <c r="SGS93" s="704"/>
      <c r="SGT93" s="704"/>
      <c r="SGU93" s="704"/>
      <c r="SGV93" s="704"/>
      <c r="SGW93" s="704"/>
      <c r="SGX93" s="704"/>
      <c r="SGY93" s="704"/>
      <c r="SGZ93" s="704"/>
      <c r="SHA93" s="704"/>
      <c r="SHB93" s="704"/>
      <c r="SHC93" s="704"/>
      <c r="SHJ93" s="704"/>
      <c r="SHK93" s="704"/>
      <c r="SHL93" s="704"/>
      <c r="SHM93" s="704"/>
      <c r="SHN93" s="704"/>
      <c r="SHO93" s="704"/>
      <c r="SHP93" s="704"/>
      <c r="SHQ93" s="704"/>
      <c r="SHR93" s="704"/>
      <c r="SHS93" s="704"/>
      <c r="SHT93" s="704"/>
      <c r="SHU93" s="704"/>
      <c r="SHV93" s="704"/>
      <c r="SHW93" s="704"/>
      <c r="SHX93" s="704"/>
      <c r="SHY93" s="704"/>
      <c r="SHZ93" s="704"/>
      <c r="SIA93" s="704"/>
      <c r="SIB93" s="704"/>
      <c r="SIC93" s="704"/>
      <c r="SID93" s="704"/>
      <c r="SIE93" s="704"/>
      <c r="SIF93" s="704"/>
      <c r="SIG93" s="704"/>
      <c r="SIH93" s="704"/>
      <c r="SII93" s="704"/>
      <c r="SIJ93" s="704"/>
      <c r="SIK93" s="704"/>
      <c r="SIL93" s="704"/>
      <c r="SIM93" s="704"/>
      <c r="SIN93" s="704"/>
      <c r="SIO93" s="704"/>
      <c r="SIP93" s="704"/>
      <c r="SIQ93" s="704"/>
      <c r="SIR93" s="704"/>
      <c r="SIS93" s="704"/>
      <c r="SIT93" s="704"/>
      <c r="SIU93" s="704"/>
      <c r="SIV93" s="704"/>
      <c r="SIW93" s="704"/>
      <c r="SIX93" s="704"/>
      <c r="SIY93" s="704"/>
      <c r="SIZ93" s="704"/>
      <c r="SJA93" s="704"/>
      <c r="SJB93" s="704"/>
      <c r="SJC93" s="704"/>
      <c r="SJD93" s="704"/>
      <c r="SJE93" s="704"/>
      <c r="SJF93" s="704"/>
      <c r="SJG93" s="704"/>
      <c r="SJH93" s="704"/>
      <c r="SJI93" s="704"/>
      <c r="SJJ93" s="704"/>
      <c r="SJK93" s="704"/>
      <c r="SJL93" s="704"/>
      <c r="SJM93" s="704"/>
      <c r="SJN93" s="704"/>
      <c r="SJO93" s="704"/>
      <c r="SJP93" s="704"/>
      <c r="SJQ93" s="704"/>
      <c r="SJR93" s="704"/>
      <c r="SJS93" s="704"/>
      <c r="SJT93" s="704"/>
      <c r="SJU93" s="704"/>
      <c r="SJV93" s="704"/>
      <c r="SJW93" s="704"/>
      <c r="SJX93" s="704"/>
      <c r="SJY93" s="704"/>
      <c r="SJZ93" s="704"/>
      <c r="SKA93" s="704"/>
      <c r="SKB93" s="704"/>
      <c r="SKC93" s="704"/>
      <c r="SKD93" s="704"/>
      <c r="SKE93" s="704"/>
      <c r="SKF93" s="704"/>
      <c r="SKG93" s="704"/>
      <c r="SKH93" s="704"/>
      <c r="SKI93" s="704"/>
      <c r="SKJ93" s="704"/>
      <c r="SKK93" s="704"/>
      <c r="SKL93" s="704"/>
      <c r="SKM93" s="704"/>
      <c r="SKN93" s="704"/>
      <c r="SKO93" s="704"/>
      <c r="SKP93" s="704"/>
      <c r="SKQ93" s="704"/>
      <c r="SKR93" s="704"/>
      <c r="SKS93" s="704"/>
      <c r="SKT93" s="704"/>
      <c r="SKU93" s="704"/>
      <c r="SKV93" s="704"/>
      <c r="SKW93" s="704"/>
      <c r="SKX93" s="704"/>
      <c r="SKY93" s="704"/>
      <c r="SKZ93" s="704"/>
      <c r="SLA93" s="704"/>
      <c r="SLB93" s="704"/>
      <c r="SLC93" s="704"/>
      <c r="SLD93" s="704"/>
      <c r="SLE93" s="704"/>
      <c r="SLF93" s="704"/>
      <c r="SLG93" s="704"/>
      <c r="SLH93" s="704"/>
      <c r="SLI93" s="704"/>
      <c r="SLJ93" s="704"/>
      <c r="SLK93" s="704"/>
      <c r="SLL93" s="704"/>
      <c r="SLM93" s="704"/>
      <c r="SLN93" s="704"/>
      <c r="SLO93" s="704"/>
      <c r="SLP93" s="704"/>
      <c r="SLQ93" s="704"/>
      <c r="SLR93" s="704"/>
      <c r="SLS93" s="704"/>
      <c r="SLT93" s="704"/>
      <c r="SLU93" s="704"/>
      <c r="SLV93" s="704"/>
      <c r="SLW93" s="704"/>
      <c r="SLX93" s="704"/>
      <c r="SLY93" s="704"/>
      <c r="SLZ93" s="704"/>
      <c r="SMA93" s="704"/>
      <c r="SMB93" s="704"/>
      <c r="SMC93" s="704"/>
      <c r="SMD93" s="704"/>
      <c r="SME93" s="704"/>
      <c r="SMF93" s="704"/>
      <c r="SMG93" s="704"/>
      <c r="SMH93" s="704"/>
      <c r="SMI93" s="704"/>
      <c r="SMJ93" s="704"/>
      <c r="SMK93" s="704"/>
      <c r="SML93" s="704"/>
      <c r="SMM93" s="704"/>
      <c r="SMN93" s="704"/>
      <c r="SMO93" s="704"/>
      <c r="SMP93" s="704"/>
      <c r="SMQ93" s="704"/>
      <c r="SMR93" s="704"/>
      <c r="SMS93" s="704"/>
      <c r="SMT93" s="704"/>
      <c r="SMU93" s="704"/>
      <c r="SMV93" s="704"/>
      <c r="SMW93" s="704"/>
      <c r="SMX93" s="704"/>
      <c r="SMY93" s="704"/>
      <c r="SMZ93" s="704"/>
      <c r="SNA93" s="704"/>
      <c r="SNB93" s="704"/>
      <c r="SNC93" s="704"/>
      <c r="SND93" s="704"/>
      <c r="SNE93" s="704"/>
      <c r="SNF93" s="704"/>
      <c r="SNG93" s="704"/>
      <c r="SNH93" s="704"/>
      <c r="SNI93" s="704"/>
      <c r="SNJ93" s="704"/>
      <c r="SNK93" s="704"/>
      <c r="SNL93" s="704"/>
      <c r="SNM93" s="704"/>
      <c r="SNN93" s="704"/>
      <c r="SNO93" s="704"/>
      <c r="SNP93" s="704"/>
      <c r="SNQ93" s="704"/>
      <c r="SNR93" s="704"/>
      <c r="SNS93" s="704"/>
      <c r="SNT93" s="704"/>
      <c r="SNU93" s="704"/>
      <c r="SNV93" s="704"/>
      <c r="SNW93" s="704"/>
      <c r="SNX93" s="704"/>
      <c r="SNY93" s="704"/>
      <c r="SNZ93" s="704"/>
      <c r="SOA93" s="704"/>
      <c r="SOB93" s="704"/>
      <c r="SOC93" s="704"/>
      <c r="SOD93" s="704"/>
      <c r="SOE93" s="704"/>
      <c r="SOF93" s="704"/>
      <c r="SOG93" s="704"/>
      <c r="SOH93" s="704"/>
      <c r="SOI93" s="704"/>
      <c r="SOJ93" s="704"/>
      <c r="SOK93" s="704"/>
      <c r="SOL93" s="704"/>
      <c r="SOM93" s="704"/>
      <c r="SON93" s="704"/>
      <c r="SOO93" s="704"/>
      <c r="SOP93" s="704"/>
      <c r="SOQ93" s="704"/>
      <c r="SOR93" s="704"/>
      <c r="SOS93" s="704"/>
      <c r="SOT93" s="704"/>
      <c r="SOU93" s="704"/>
      <c r="SOV93" s="704"/>
      <c r="SOW93" s="704"/>
      <c r="SOX93" s="704"/>
      <c r="SOY93" s="704"/>
      <c r="SOZ93" s="704"/>
      <c r="SPA93" s="704"/>
      <c r="SPB93" s="704"/>
      <c r="SPC93" s="704"/>
      <c r="SPD93" s="704"/>
      <c r="SPE93" s="704"/>
      <c r="SPF93" s="704"/>
      <c r="SPG93" s="704"/>
      <c r="SPH93" s="704"/>
      <c r="SPI93" s="704"/>
      <c r="SPJ93" s="704"/>
      <c r="SPK93" s="704"/>
      <c r="SPL93" s="704"/>
      <c r="SPM93" s="704"/>
      <c r="SPN93" s="704"/>
      <c r="SPO93" s="704"/>
      <c r="SPP93" s="704"/>
      <c r="SPQ93" s="704"/>
      <c r="SPR93" s="704"/>
      <c r="SPS93" s="704"/>
      <c r="SPT93" s="704"/>
      <c r="SPU93" s="704"/>
      <c r="SPV93" s="704"/>
      <c r="SPW93" s="704"/>
      <c r="SPX93" s="704"/>
      <c r="SPY93" s="704"/>
      <c r="SPZ93" s="704"/>
      <c r="SQA93" s="704"/>
      <c r="SQB93" s="704"/>
      <c r="SQC93" s="704"/>
      <c r="SQD93" s="704"/>
      <c r="SQE93" s="704"/>
      <c r="SQF93" s="704"/>
      <c r="SQG93" s="704"/>
      <c r="SQH93" s="704"/>
      <c r="SQI93" s="704"/>
      <c r="SQJ93" s="704"/>
      <c r="SQK93" s="704"/>
      <c r="SQL93" s="704"/>
      <c r="SQM93" s="704"/>
      <c r="SQN93" s="704"/>
      <c r="SQO93" s="704"/>
      <c r="SQP93" s="704"/>
      <c r="SQQ93" s="704"/>
      <c r="SQR93" s="704"/>
      <c r="SQS93" s="704"/>
      <c r="SQT93" s="704"/>
      <c r="SQU93" s="704"/>
      <c r="SQV93" s="704"/>
      <c r="SQW93" s="704"/>
      <c r="SQX93" s="704"/>
      <c r="SQY93" s="704"/>
      <c r="SRF93" s="704"/>
      <c r="SRG93" s="704"/>
      <c r="SRH93" s="704"/>
      <c r="SRI93" s="704"/>
      <c r="SRJ93" s="704"/>
      <c r="SRK93" s="704"/>
      <c r="SRL93" s="704"/>
      <c r="SRM93" s="704"/>
      <c r="SRN93" s="704"/>
      <c r="SRO93" s="704"/>
      <c r="SRP93" s="704"/>
      <c r="SRQ93" s="704"/>
      <c r="SRR93" s="704"/>
      <c r="SRS93" s="704"/>
      <c r="SRT93" s="704"/>
      <c r="SRU93" s="704"/>
      <c r="SRV93" s="704"/>
      <c r="SRW93" s="704"/>
      <c r="SRX93" s="704"/>
      <c r="SRY93" s="704"/>
      <c r="SRZ93" s="704"/>
      <c r="SSA93" s="704"/>
      <c r="SSB93" s="704"/>
      <c r="SSC93" s="704"/>
      <c r="SSD93" s="704"/>
      <c r="SSE93" s="704"/>
      <c r="SSF93" s="704"/>
      <c r="SSG93" s="704"/>
      <c r="SSH93" s="704"/>
      <c r="SSI93" s="704"/>
      <c r="SSJ93" s="704"/>
      <c r="SSK93" s="704"/>
      <c r="SSL93" s="704"/>
      <c r="SSM93" s="704"/>
      <c r="SSN93" s="704"/>
      <c r="SSO93" s="704"/>
      <c r="SSP93" s="704"/>
      <c r="SSQ93" s="704"/>
      <c r="SSR93" s="704"/>
      <c r="SSS93" s="704"/>
      <c r="SST93" s="704"/>
      <c r="SSU93" s="704"/>
      <c r="SSV93" s="704"/>
      <c r="SSW93" s="704"/>
      <c r="SSX93" s="704"/>
      <c r="SSY93" s="704"/>
      <c r="SSZ93" s="704"/>
      <c r="STA93" s="704"/>
      <c r="STB93" s="704"/>
      <c r="STC93" s="704"/>
      <c r="STD93" s="704"/>
      <c r="STE93" s="704"/>
      <c r="STF93" s="704"/>
      <c r="STG93" s="704"/>
      <c r="STH93" s="704"/>
      <c r="STI93" s="704"/>
      <c r="STJ93" s="704"/>
      <c r="STK93" s="704"/>
      <c r="STL93" s="704"/>
      <c r="STM93" s="704"/>
      <c r="STN93" s="704"/>
      <c r="STO93" s="704"/>
      <c r="STP93" s="704"/>
      <c r="STQ93" s="704"/>
      <c r="STR93" s="704"/>
      <c r="STS93" s="704"/>
      <c r="STT93" s="704"/>
      <c r="STU93" s="704"/>
      <c r="STV93" s="704"/>
      <c r="STW93" s="704"/>
      <c r="STX93" s="704"/>
      <c r="STY93" s="704"/>
      <c r="STZ93" s="704"/>
      <c r="SUA93" s="704"/>
      <c r="SUB93" s="704"/>
      <c r="SUC93" s="704"/>
      <c r="SUD93" s="704"/>
      <c r="SUE93" s="704"/>
      <c r="SUF93" s="704"/>
      <c r="SUG93" s="704"/>
      <c r="SUH93" s="704"/>
      <c r="SUI93" s="704"/>
      <c r="SUJ93" s="704"/>
      <c r="SUK93" s="704"/>
      <c r="SUL93" s="704"/>
      <c r="SUM93" s="704"/>
      <c r="SUN93" s="704"/>
      <c r="SUO93" s="704"/>
      <c r="SUP93" s="704"/>
      <c r="SUQ93" s="704"/>
      <c r="SUR93" s="704"/>
      <c r="SUS93" s="704"/>
      <c r="SUT93" s="704"/>
      <c r="SUU93" s="704"/>
      <c r="SUV93" s="704"/>
      <c r="SUW93" s="704"/>
      <c r="SUX93" s="704"/>
      <c r="SUY93" s="704"/>
      <c r="SUZ93" s="704"/>
      <c r="SVA93" s="704"/>
      <c r="SVB93" s="704"/>
      <c r="SVC93" s="704"/>
      <c r="SVD93" s="704"/>
      <c r="SVE93" s="704"/>
      <c r="SVF93" s="704"/>
      <c r="SVG93" s="704"/>
      <c r="SVH93" s="704"/>
      <c r="SVI93" s="704"/>
      <c r="SVJ93" s="704"/>
      <c r="SVK93" s="704"/>
      <c r="SVL93" s="704"/>
      <c r="SVM93" s="704"/>
      <c r="SVN93" s="704"/>
      <c r="SVO93" s="704"/>
      <c r="SVP93" s="704"/>
      <c r="SVQ93" s="704"/>
      <c r="SVR93" s="704"/>
      <c r="SVS93" s="704"/>
      <c r="SVT93" s="704"/>
      <c r="SVU93" s="704"/>
      <c r="SVV93" s="704"/>
      <c r="SVW93" s="704"/>
      <c r="SVX93" s="704"/>
      <c r="SVY93" s="704"/>
      <c r="SVZ93" s="704"/>
      <c r="SWA93" s="704"/>
      <c r="SWB93" s="704"/>
      <c r="SWC93" s="704"/>
      <c r="SWD93" s="704"/>
      <c r="SWE93" s="704"/>
      <c r="SWF93" s="704"/>
      <c r="SWG93" s="704"/>
      <c r="SWH93" s="704"/>
      <c r="SWI93" s="704"/>
      <c r="SWJ93" s="704"/>
      <c r="SWK93" s="704"/>
      <c r="SWL93" s="704"/>
      <c r="SWM93" s="704"/>
      <c r="SWN93" s="704"/>
      <c r="SWO93" s="704"/>
      <c r="SWP93" s="704"/>
      <c r="SWQ93" s="704"/>
      <c r="SWR93" s="704"/>
      <c r="SWS93" s="704"/>
      <c r="SWT93" s="704"/>
      <c r="SWU93" s="704"/>
      <c r="SWV93" s="704"/>
      <c r="SWW93" s="704"/>
      <c r="SWX93" s="704"/>
      <c r="SWY93" s="704"/>
      <c r="SWZ93" s="704"/>
      <c r="SXA93" s="704"/>
      <c r="SXB93" s="704"/>
      <c r="SXC93" s="704"/>
      <c r="SXD93" s="704"/>
      <c r="SXE93" s="704"/>
      <c r="SXF93" s="704"/>
      <c r="SXG93" s="704"/>
      <c r="SXH93" s="704"/>
      <c r="SXI93" s="704"/>
      <c r="SXJ93" s="704"/>
      <c r="SXK93" s="704"/>
      <c r="SXL93" s="704"/>
      <c r="SXM93" s="704"/>
      <c r="SXN93" s="704"/>
      <c r="SXO93" s="704"/>
      <c r="SXP93" s="704"/>
      <c r="SXQ93" s="704"/>
      <c r="SXR93" s="704"/>
      <c r="SXS93" s="704"/>
      <c r="SXT93" s="704"/>
      <c r="SXU93" s="704"/>
      <c r="SXV93" s="704"/>
      <c r="SXW93" s="704"/>
      <c r="SXX93" s="704"/>
      <c r="SXY93" s="704"/>
      <c r="SXZ93" s="704"/>
      <c r="SYA93" s="704"/>
      <c r="SYB93" s="704"/>
      <c r="SYC93" s="704"/>
      <c r="SYD93" s="704"/>
      <c r="SYE93" s="704"/>
      <c r="SYF93" s="704"/>
      <c r="SYG93" s="704"/>
      <c r="SYH93" s="704"/>
      <c r="SYI93" s="704"/>
      <c r="SYJ93" s="704"/>
      <c r="SYK93" s="704"/>
      <c r="SYL93" s="704"/>
      <c r="SYM93" s="704"/>
      <c r="SYN93" s="704"/>
      <c r="SYO93" s="704"/>
      <c r="SYP93" s="704"/>
      <c r="SYQ93" s="704"/>
      <c r="SYR93" s="704"/>
      <c r="SYS93" s="704"/>
      <c r="SYT93" s="704"/>
      <c r="SYU93" s="704"/>
      <c r="SYV93" s="704"/>
      <c r="SYW93" s="704"/>
      <c r="SYX93" s="704"/>
      <c r="SYY93" s="704"/>
      <c r="SYZ93" s="704"/>
      <c r="SZA93" s="704"/>
      <c r="SZB93" s="704"/>
      <c r="SZC93" s="704"/>
      <c r="SZD93" s="704"/>
      <c r="SZE93" s="704"/>
      <c r="SZF93" s="704"/>
      <c r="SZG93" s="704"/>
      <c r="SZH93" s="704"/>
      <c r="SZI93" s="704"/>
      <c r="SZJ93" s="704"/>
      <c r="SZK93" s="704"/>
      <c r="SZL93" s="704"/>
      <c r="SZM93" s="704"/>
      <c r="SZN93" s="704"/>
      <c r="SZO93" s="704"/>
      <c r="SZP93" s="704"/>
      <c r="SZQ93" s="704"/>
      <c r="SZR93" s="704"/>
      <c r="SZS93" s="704"/>
      <c r="SZT93" s="704"/>
      <c r="SZU93" s="704"/>
      <c r="SZV93" s="704"/>
      <c r="SZW93" s="704"/>
      <c r="SZX93" s="704"/>
      <c r="SZY93" s="704"/>
      <c r="SZZ93" s="704"/>
      <c r="TAA93" s="704"/>
      <c r="TAB93" s="704"/>
      <c r="TAC93" s="704"/>
      <c r="TAD93" s="704"/>
      <c r="TAE93" s="704"/>
      <c r="TAF93" s="704"/>
      <c r="TAG93" s="704"/>
      <c r="TAH93" s="704"/>
      <c r="TAI93" s="704"/>
      <c r="TAJ93" s="704"/>
      <c r="TAK93" s="704"/>
      <c r="TAL93" s="704"/>
      <c r="TAM93" s="704"/>
      <c r="TAN93" s="704"/>
      <c r="TAO93" s="704"/>
      <c r="TAP93" s="704"/>
      <c r="TAQ93" s="704"/>
      <c r="TAR93" s="704"/>
      <c r="TAS93" s="704"/>
      <c r="TAT93" s="704"/>
      <c r="TAU93" s="704"/>
      <c r="TBB93" s="704"/>
      <c r="TBC93" s="704"/>
      <c r="TBD93" s="704"/>
      <c r="TBE93" s="704"/>
      <c r="TBF93" s="704"/>
      <c r="TBG93" s="704"/>
      <c r="TBH93" s="704"/>
      <c r="TBI93" s="704"/>
      <c r="TBJ93" s="704"/>
      <c r="TBK93" s="704"/>
      <c r="TBL93" s="704"/>
      <c r="TBM93" s="704"/>
      <c r="TBN93" s="704"/>
      <c r="TBO93" s="704"/>
      <c r="TBP93" s="704"/>
      <c r="TBQ93" s="704"/>
      <c r="TBR93" s="704"/>
      <c r="TBS93" s="704"/>
      <c r="TBT93" s="704"/>
      <c r="TBU93" s="704"/>
      <c r="TBV93" s="704"/>
      <c r="TBW93" s="704"/>
      <c r="TBX93" s="704"/>
      <c r="TBY93" s="704"/>
      <c r="TBZ93" s="704"/>
      <c r="TCA93" s="704"/>
      <c r="TCB93" s="704"/>
      <c r="TCC93" s="704"/>
      <c r="TCD93" s="704"/>
      <c r="TCE93" s="704"/>
      <c r="TCF93" s="704"/>
      <c r="TCG93" s="704"/>
      <c r="TCH93" s="704"/>
      <c r="TCI93" s="704"/>
      <c r="TCJ93" s="704"/>
      <c r="TCK93" s="704"/>
      <c r="TCL93" s="704"/>
      <c r="TCM93" s="704"/>
      <c r="TCN93" s="704"/>
      <c r="TCO93" s="704"/>
      <c r="TCP93" s="704"/>
      <c r="TCQ93" s="704"/>
      <c r="TCR93" s="704"/>
      <c r="TCS93" s="704"/>
      <c r="TCT93" s="704"/>
      <c r="TCU93" s="704"/>
      <c r="TCV93" s="704"/>
      <c r="TCW93" s="704"/>
      <c r="TCX93" s="704"/>
      <c r="TCY93" s="704"/>
      <c r="TCZ93" s="704"/>
      <c r="TDA93" s="704"/>
      <c r="TDB93" s="704"/>
      <c r="TDC93" s="704"/>
      <c r="TDD93" s="704"/>
      <c r="TDE93" s="704"/>
      <c r="TDF93" s="704"/>
      <c r="TDG93" s="704"/>
      <c r="TDH93" s="704"/>
      <c r="TDI93" s="704"/>
      <c r="TDJ93" s="704"/>
      <c r="TDK93" s="704"/>
      <c r="TDL93" s="704"/>
      <c r="TDM93" s="704"/>
      <c r="TDN93" s="704"/>
      <c r="TDO93" s="704"/>
      <c r="TDP93" s="704"/>
      <c r="TDQ93" s="704"/>
      <c r="TDR93" s="704"/>
      <c r="TDS93" s="704"/>
      <c r="TDT93" s="704"/>
      <c r="TDU93" s="704"/>
      <c r="TDV93" s="704"/>
      <c r="TDW93" s="704"/>
      <c r="TDX93" s="704"/>
      <c r="TDY93" s="704"/>
      <c r="TDZ93" s="704"/>
      <c r="TEA93" s="704"/>
      <c r="TEB93" s="704"/>
      <c r="TEC93" s="704"/>
      <c r="TED93" s="704"/>
      <c r="TEE93" s="704"/>
      <c r="TEF93" s="704"/>
      <c r="TEG93" s="704"/>
      <c r="TEH93" s="704"/>
      <c r="TEI93" s="704"/>
      <c r="TEJ93" s="704"/>
      <c r="TEK93" s="704"/>
      <c r="TEL93" s="704"/>
      <c r="TEM93" s="704"/>
      <c r="TEN93" s="704"/>
      <c r="TEO93" s="704"/>
      <c r="TEP93" s="704"/>
      <c r="TEQ93" s="704"/>
      <c r="TER93" s="704"/>
      <c r="TES93" s="704"/>
      <c r="TET93" s="704"/>
      <c r="TEU93" s="704"/>
      <c r="TEV93" s="704"/>
      <c r="TEW93" s="704"/>
      <c r="TEX93" s="704"/>
      <c r="TEY93" s="704"/>
      <c r="TEZ93" s="704"/>
      <c r="TFA93" s="704"/>
      <c r="TFB93" s="704"/>
      <c r="TFC93" s="704"/>
      <c r="TFD93" s="704"/>
      <c r="TFE93" s="704"/>
      <c r="TFF93" s="704"/>
      <c r="TFG93" s="704"/>
      <c r="TFH93" s="704"/>
      <c r="TFI93" s="704"/>
      <c r="TFJ93" s="704"/>
      <c r="TFK93" s="704"/>
      <c r="TFL93" s="704"/>
      <c r="TFM93" s="704"/>
      <c r="TFN93" s="704"/>
      <c r="TFO93" s="704"/>
      <c r="TFP93" s="704"/>
      <c r="TFQ93" s="704"/>
      <c r="TFR93" s="704"/>
      <c r="TFS93" s="704"/>
      <c r="TFT93" s="704"/>
      <c r="TFU93" s="704"/>
      <c r="TFV93" s="704"/>
      <c r="TFW93" s="704"/>
      <c r="TFX93" s="704"/>
      <c r="TFY93" s="704"/>
      <c r="TFZ93" s="704"/>
      <c r="TGA93" s="704"/>
      <c r="TGB93" s="704"/>
      <c r="TGC93" s="704"/>
      <c r="TGD93" s="704"/>
      <c r="TGE93" s="704"/>
      <c r="TGF93" s="704"/>
      <c r="TGG93" s="704"/>
      <c r="TGH93" s="704"/>
      <c r="TGI93" s="704"/>
      <c r="TGJ93" s="704"/>
      <c r="TGK93" s="704"/>
      <c r="TGL93" s="704"/>
      <c r="TGM93" s="704"/>
      <c r="TGN93" s="704"/>
      <c r="TGO93" s="704"/>
      <c r="TGP93" s="704"/>
      <c r="TGQ93" s="704"/>
      <c r="TGR93" s="704"/>
      <c r="TGS93" s="704"/>
      <c r="TGT93" s="704"/>
      <c r="TGU93" s="704"/>
      <c r="TGV93" s="704"/>
      <c r="TGW93" s="704"/>
      <c r="TGX93" s="704"/>
      <c r="TGY93" s="704"/>
      <c r="TGZ93" s="704"/>
      <c r="THA93" s="704"/>
      <c r="THB93" s="704"/>
      <c r="THC93" s="704"/>
      <c r="THD93" s="704"/>
      <c r="THE93" s="704"/>
      <c r="THF93" s="704"/>
      <c r="THG93" s="704"/>
      <c r="THH93" s="704"/>
      <c r="THI93" s="704"/>
      <c r="THJ93" s="704"/>
      <c r="THK93" s="704"/>
      <c r="THL93" s="704"/>
      <c r="THM93" s="704"/>
      <c r="THN93" s="704"/>
      <c r="THO93" s="704"/>
      <c r="THP93" s="704"/>
      <c r="THQ93" s="704"/>
      <c r="THR93" s="704"/>
      <c r="THS93" s="704"/>
      <c r="THT93" s="704"/>
      <c r="THU93" s="704"/>
      <c r="THV93" s="704"/>
      <c r="THW93" s="704"/>
      <c r="THX93" s="704"/>
      <c r="THY93" s="704"/>
      <c r="THZ93" s="704"/>
      <c r="TIA93" s="704"/>
      <c r="TIB93" s="704"/>
      <c r="TIC93" s="704"/>
      <c r="TID93" s="704"/>
      <c r="TIE93" s="704"/>
      <c r="TIF93" s="704"/>
      <c r="TIG93" s="704"/>
      <c r="TIH93" s="704"/>
      <c r="TII93" s="704"/>
      <c r="TIJ93" s="704"/>
      <c r="TIK93" s="704"/>
      <c r="TIL93" s="704"/>
      <c r="TIM93" s="704"/>
      <c r="TIN93" s="704"/>
      <c r="TIO93" s="704"/>
      <c r="TIP93" s="704"/>
      <c r="TIQ93" s="704"/>
      <c r="TIR93" s="704"/>
      <c r="TIS93" s="704"/>
      <c r="TIT93" s="704"/>
      <c r="TIU93" s="704"/>
      <c r="TIV93" s="704"/>
      <c r="TIW93" s="704"/>
      <c r="TIX93" s="704"/>
      <c r="TIY93" s="704"/>
      <c r="TIZ93" s="704"/>
      <c r="TJA93" s="704"/>
      <c r="TJB93" s="704"/>
      <c r="TJC93" s="704"/>
      <c r="TJD93" s="704"/>
      <c r="TJE93" s="704"/>
      <c r="TJF93" s="704"/>
      <c r="TJG93" s="704"/>
      <c r="TJH93" s="704"/>
      <c r="TJI93" s="704"/>
      <c r="TJJ93" s="704"/>
      <c r="TJK93" s="704"/>
      <c r="TJL93" s="704"/>
      <c r="TJM93" s="704"/>
      <c r="TJN93" s="704"/>
      <c r="TJO93" s="704"/>
      <c r="TJP93" s="704"/>
      <c r="TJQ93" s="704"/>
      <c r="TJR93" s="704"/>
      <c r="TJS93" s="704"/>
      <c r="TJT93" s="704"/>
      <c r="TJU93" s="704"/>
      <c r="TJV93" s="704"/>
      <c r="TJW93" s="704"/>
      <c r="TJX93" s="704"/>
      <c r="TJY93" s="704"/>
      <c r="TJZ93" s="704"/>
      <c r="TKA93" s="704"/>
      <c r="TKB93" s="704"/>
      <c r="TKC93" s="704"/>
      <c r="TKD93" s="704"/>
      <c r="TKE93" s="704"/>
      <c r="TKF93" s="704"/>
      <c r="TKG93" s="704"/>
      <c r="TKH93" s="704"/>
      <c r="TKI93" s="704"/>
      <c r="TKJ93" s="704"/>
      <c r="TKK93" s="704"/>
      <c r="TKL93" s="704"/>
      <c r="TKM93" s="704"/>
      <c r="TKN93" s="704"/>
      <c r="TKO93" s="704"/>
      <c r="TKP93" s="704"/>
      <c r="TKQ93" s="704"/>
      <c r="TKX93" s="704"/>
      <c r="TKY93" s="704"/>
      <c r="TKZ93" s="704"/>
      <c r="TLA93" s="704"/>
      <c r="TLB93" s="704"/>
      <c r="TLC93" s="704"/>
      <c r="TLD93" s="704"/>
      <c r="TLE93" s="704"/>
      <c r="TLF93" s="704"/>
      <c r="TLG93" s="704"/>
      <c r="TLH93" s="704"/>
      <c r="TLI93" s="704"/>
      <c r="TLJ93" s="704"/>
      <c r="TLK93" s="704"/>
      <c r="TLL93" s="704"/>
      <c r="TLM93" s="704"/>
      <c r="TLN93" s="704"/>
      <c r="TLO93" s="704"/>
      <c r="TLP93" s="704"/>
      <c r="TLQ93" s="704"/>
      <c r="TLR93" s="704"/>
      <c r="TLS93" s="704"/>
      <c r="TLT93" s="704"/>
      <c r="TLU93" s="704"/>
      <c r="TLV93" s="704"/>
      <c r="TLW93" s="704"/>
      <c r="TLX93" s="704"/>
      <c r="TLY93" s="704"/>
      <c r="TLZ93" s="704"/>
      <c r="TMA93" s="704"/>
      <c r="TMB93" s="704"/>
      <c r="TMC93" s="704"/>
      <c r="TMD93" s="704"/>
      <c r="TME93" s="704"/>
      <c r="TMF93" s="704"/>
      <c r="TMG93" s="704"/>
      <c r="TMH93" s="704"/>
      <c r="TMI93" s="704"/>
      <c r="TMJ93" s="704"/>
      <c r="TMK93" s="704"/>
      <c r="TML93" s="704"/>
      <c r="TMM93" s="704"/>
      <c r="TMN93" s="704"/>
      <c r="TMO93" s="704"/>
      <c r="TMP93" s="704"/>
      <c r="TMQ93" s="704"/>
      <c r="TMR93" s="704"/>
      <c r="TMS93" s="704"/>
      <c r="TMT93" s="704"/>
      <c r="TMU93" s="704"/>
      <c r="TMV93" s="704"/>
      <c r="TMW93" s="704"/>
      <c r="TMX93" s="704"/>
      <c r="TMY93" s="704"/>
      <c r="TMZ93" s="704"/>
      <c r="TNA93" s="704"/>
      <c r="TNB93" s="704"/>
      <c r="TNC93" s="704"/>
      <c r="TND93" s="704"/>
      <c r="TNE93" s="704"/>
      <c r="TNF93" s="704"/>
      <c r="TNG93" s="704"/>
      <c r="TNH93" s="704"/>
      <c r="TNI93" s="704"/>
      <c r="TNJ93" s="704"/>
      <c r="TNK93" s="704"/>
      <c r="TNL93" s="704"/>
      <c r="TNM93" s="704"/>
      <c r="TNN93" s="704"/>
      <c r="TNO93" s="704"/>
      <c r="TNP93" s="704"/>
      <c r="TNQ93" s="704"/>
      <c r="TNR93" s="704"/>
      <c r="TNS93" s="704"/>
      <c r="TNT93" s="704"/>
      <c r="TNU93" s="704"/>
      <c r="TNV93" s="704"/>
      <c r="TNW93" s="704"/>
      <c r="TNX93" s="704"/>
      <c r="TNY93" s="704"/>
      <c r="TNZ93" s="704"/>
      <c r="TOA93" s="704"/>
      <c r="TOB93" s="704"/>
      <c r="TOC93" s="704"/>
      <c r="TOD93" s="704"/>
      <c r="TOE93" s="704"/>
      <c r="TOF93" s="704"/>
      <c r="TOG93" s="704"/>
      <c r="TOH93" s="704"/>
      <c r="TOI93" s="704"/>
      <c r="TOJ93" s="704"/>
      <c r="TOK93" s="704"/>
      <c r="TOL93" s="704"/>
      <c r="TOM93" s="704"/>
      <c r="TON93" s="704"/>
      <c r="TOO93" s="704"/>
      <c r="TOP93" s="704"/>
      <c r="TOQ93" s="704"/>
      <c r="TOR93" s="704"/>
      <c r="TOS93" s="704"/>
      <c r="TOT93" s="704"/>
      <c r="TOU93" s="704"/>
      <c r="TOV93" s="704"/>
      <c r="TOW93" s="704"/>
      <c r="TOX93" s="704"/>
      <c r="TOY93" s="704"/>
      <c r="TOZ93" s="704"/>
      <c r="TPA93" s="704"/>
      <c r="TPB93" s="704"/>
      <c r="TPC93" s="704"/>
      <c r="TPD93" s="704"/>
      <c r="TPE93" s="704"/>
      <c r="TPF93" s="704"/>
      <c r="TPG93" s="704"/>
      <c r="TPH93" s="704"/>
      <c r="TPI93" s="704"/>
      <c r="TPJ93" s="704"/>
      <c r="TPK93" s="704"/>
      <c r="TPL93" s="704"/>
      <c r="TPM93" s="704"/>
      <c r="TPN93" s="704"/>
      <c r="TPO93" s="704"/>
      <c r="TPP93" s="704"/>
      <c r="TPQ93" s="704"/>
      <c r="TPR93" s="704"/>
      <c r="TPS93" s="704"/>
      <c r="TPT93" s="704"/>
      <c r="TPU93" s="704"/>
      <c r="TPV93" s="704"/>
      <c r="TPW93" s="704"/>
      <c r="TPX93" s="704"/>
      <c r="TPY93" s="704"/>
      <c r="TPZ93" s="704"/>
      <c r="TQA93" s="704"/>
      <c r="TQB93" s="704"/>
      <c r="TQC93" s="704"/>
      <c r="TQD93" s="704"/>
      <c r="TQE93" s="704"/>
      <c r="TQF93" s="704"/>
      <c r="TQG93" s="704"/>
      <c r="TQH93" s="704"/>
      <c r="TQI93" s="704"/>
      <c r="TQJ93" s="704"/>
      <c r="TQK93" s="704"/>
      <c r="TQL93" s="704"/>
      <c r="TQM93" s="704"/>
      <c r="TQN93" s="704"/>
      <c r="TQO93" s="704"/>
      <c r="TQP93" s="704"/>
      <c r="TQQ93" s="704"/>
      <c r="TQR93" s="704"/>
      <c r="TQS93" s="704"/>
      <c r="TQT93" s="704"/>
      <c r="TQU93" s="704"/>
      <c r="TQV93" s="704"/>
      <c r="TQW93" s="704"/>
      <c r="TQX93" s="704"/>
      <c r="TQY93" s="704"/>
      <c r="TQZ93" s="704"/>
      <c r="TRA93" s="704"/>
      <c r="TRB93" s="704"/>
      <c r="TRC93" s="704"/>
      <c r="TRD93" s="704"/>
      <c r="TRE93" s="704"/>
      <c r="TRF93" s="704"/>
      <c r="TRG93" s="704"/>
      <c r="TRH93" s="704"/>
      <c r="TRI93" s="704"/>
      <c r="TRJ93" s="704"/>
      <c r="TRK93" s="704"/>
      <c r="TRL93" s="704"/>
      <c r="TRM93" s="704"/>
      <c r="TRN93" s="704"/>
      <c r="TRO93" s="704"/>
      <c r="TRP93" s="704"/>
      <c r="TRQ93" s="704"/>
      <c r="TRR93" s="704"/>
      <c r="TRS93" s="704"/>
      <c r="TRT93" s="704"/>
      <c r="TRU93" s="704"/>
      <c r="TRV93" s="704"/>
      <c r="TRW93" s="704"/>
      <c r="TRX93" s="704"/>
      <c r="TRY93" s="704"/>
      <c r="TRZ93" s="704"/>
      <c r="TSA93" s="704"/>
      <c r="TSB93" s="704"/>
      <c r="TSC93" s="704"/>
      <c r="TSD93" s="704"/>
      <c r="TSE93" s="704"/>
      <c r="TSF93" s="704"/>
      <c r="TSG93" s="704"/>
      <c r="TSH93" s="704"/>
      <c r="TSI93" s="704"/>
      <c r="TSJ93" s="704"/>
      <c r="TSK93" s="704"/>
      <c r="TSL93" s="704"/>
      <c r="TSM93" s="704"/>
      <c r="TSN93" s="704"/>
      <c r="TSO93" s="704"/>
      <c r="TSP93" s="704"/>
      <c r="TSQ93" s="704"/>
      <c r="TSR93" s="704"/>
      <c r="TSS93" s="704"/>
      <c r="TST93" s="704"/>
      <c r="TSU93" s="704"/>
      <c r="TSV93" s="704"/>
      <c r="TSW93" s="704"/>
      <c r="TSX93" s="704"/>
      <c r="TSY93" s="704"/>
      <c r="TSZ93" s="704"/>
      <c r="TTA93" s="704"/>
      <c r="TTB93" s="704"/>
      <c r="TTC93" s="704"/>
      <c r="TTD93" s="704"/>
      <c r="TTE93" s="704"/>
      <c r="TTF93" s="704"/>
      <c r="TTG93" s="704"/>
      <c r="TTH93" s="704"/>
      <c r="TTI93" s="704"/>
      <c r="TTJ93" s="704"/>
      <c r="TTK93" s="704"/>
      <c r="TTL93" s="704"/>
      <c r="TTM93" s="704"/>
      <c r="TTN93" s="704"/>
      <c r="TTO93" s="704"/>
      <c r="TTP93" s="704"/>
      <c r="TTQ93" s="704"/>
      <c r="TTR93" s="704"/>
      <c r="TTS93" s="704"/>
      <c r="TTT93" s="704"/>
      <c r="TTU93" s="704"/>
      <c r="TTV93" s="704"/>
      <c r="TTW93" s="704"/>
      <c r="TTX93" s="704"/>
      <c r="TTY93" s="704"/>
      <c r="TTZ93" s="704"/>
      <c r="TUA93" s="704"/>
      <c r="TUB93" s="704"/>
      <c r="TUC93" s="704"/>
      <c r="TUD93" s="704"/>
      <c r="TUE93" s="704"/>
      <c r="TUF93" s="704"/>
      <c r="TUG93" s="704"/>
      <c r="TUH93" s="704"/>
      <c r="TUI93" s="704"/>
      <c r="TUJ93" s="704"/>
      <c r="TUK93" s="704"/>
      <c r="TUL93" s="704"/>
      <c r="TUM93" s="704"/>
      <c r="TUT93" s="704"/>
      <c r="TUU93" s="704"/>
      <c r="TUV93" s="704"/>
      <c r="TUW93" s="704"/>
      <c r="TUX93" s="704"/>
      <c r="TUY93" s="704"/>
      <c r="TUZ93" s="704"/>
      <c r="TVA93" s="704"/>
      <c r="TVB93" s="704"/>
      <c r="TVC93" s="704"/>
      <c r="TVD93" s="704"/>
      <c r="TVE93" s="704"/>
      <c r="TVF93" s="704"/>
      <c r="TVG93" s="704"/>
      <c r="TVH93" s="704"/>
      <c r="TVI93" s="704"/>
      <c r="TVJ93" s="704"/>
      <c r="TVK93" s="704"/>
      <c r="TVL93" s="704"/>
      <c r="TVM93" s="704"/>
      <c r="TVN93" s="704"/>
      <c r="TVO93" s="704"/>
      <c r="TVP93" s="704"/>
      <c r="TVQ93" s="704"/>
      <c r="TVR93" s="704"/>
      <c r="TVS93" s="704"/>
      <c r="TVT93" s="704"/>
      <c r="TVU93" s="704"/>
      <c r="TVV93" s="704"/>
      <c r="TVW93" s="704"/>
      <c r="TVX93" s="704"/>
      <c r="TVY93" s="704"/>
      <c r="TVZ93" s="704"/>
      <c r="TWA93" s="704"/>
      <c r="TWB93" s="704"/>
      <c r="TWC93" s="704"/>
      <c r="TWD93" s="704"/>
      <c r="TWE93" s="704"/>
      <c r="TWF93" s="704"/>
      <c r="TWG93" s="704"/>
      <c r="TWH93" s="704"/>
      <c r="TWI93" s="704"/>
      <c r="TWJ93" s="704"/>
      <c r="TWK93" s="704"/>
      <c r="TWL93" s="704"/>
      <c r="TWM93" s="704"/>
      <c r="TWN93" s="704"/>
      <c r="TWO93" s="704"/>
      <c r="TWP93" s="704"/>
      <c r="TWQ93" s="704"/>
      <c r="TWR93" s="704"/>
      <c r="TWS93" s="704"/>
      <c r="TWT93" s="704"/>
      <c r="TWU93" s="704"/>
      <c r="TWV93" s="704"/>
      <c r="TWW93" s="704"/>
      <c r="TWX93" s="704"/>
      <c r="TWY93" s="704"/>
      <c r="TWZ93" s="704"/>
      <c r="TXA93" s="704"/>
      <c r="TXB93" s="704"/>
      <c r="TXC93" s="704"/>
      <c r="TXD93" s="704"/>
      <c r="TXE93" s="704"/>
      <c r="TXF93" s="704"/>
      <c r="TXG93" s="704"/>
      <c r="TXH93" s="704"/>
      <c r="TXI93" s="704"/>
      <c r="TXJ93" s="704"/>
      <c r="TXK93" s="704"/>
      <c r="TXL93" s="704"/>
      <c r="TXM93" s="704"/>
      <c r="TXN93" s="704"/>
      <c r="TXO93" s="704"/>
      <c r="TXP93" s="704"/>
      <c r="TXQ93" s="704"/>
      <c r="TXR93" s="704"/>
      <c r="TXS93" s="704"/>
      <c r="TXT93" s="704"/>
      <c r="TXU93" s="704"/>
      <c r="TXV93" s="704"/>
      <c r="TXW93" s="704"/>
      <c r="TXX93" s="704"/>
      <c r="TXY93" s="704"/>
      <c r="TXZ93" s="704"/>
      <c r="TYA93" s="704"/>
      <c r="TYB93" s="704"/>
      <c r="TYC93" s="704"/>
      <c r="TYD93" s="704"/>
      <c r="TYE93" s="704"/>
      <c r="TYF93" s="704"/>
      <c r="TYG93" s="704"/>
      <c r="TYH93" s="704"/>
      <c r="TYI93" s="704"/>
      <c r="TYJ93" s="704"/>
      <c r="TYK93" s="704"/>
      <c r="TYL93" s="704"/>
      <c r="TYM93" s="704"/>
      <c r="TYN93" s="704"/>
      <c r="TYO93" s="704"/>
      <c r="TYP93" s="704"/>
      <c r="TYQ93" s="704"/>
      <c r="TYR93" s="704"/>
      <c r="TYS93" s="704"/>
      <c r="TYT93" s="704"/>
      <c r="TYU93" s="704"/>
      <c r="TYV93" s="704"/>
      <c r="TYW93" s="704"/>
      <c r="TYX93" s="704"/>
      <c r="TYY93" s="704"/>
      <c r="TYZ93" s="704"/>
      <c r="TZA93" s="704"/>
      <c r="TZB93" s="704"/>
      <c r="TZC93" s="704"/>
      <c r="TZD93" s="704"/>
      <c r="TZE93" s="704"/>
      <c r="TZF93" s="704"/>
      <c r="TZG93" s="704"/>
      <c r="TZH93" s="704"/>
      <c r="TZI93" s="704"/>
      <c r="TZJ93" s="704"/>
      <c r="TZK93" s="704"/>
      <c r="TZL93" s="704"/>
      <c r="TZM93" s="704"/>
      <c r="TZN93" s="704"/>
      <c r="TZO93" s="704"/>
      <c r="TZP93" s="704"/>
      <c r="TZQ93" s="704"/>
      <c r="TZR93" s="704"/>
      <c r="TZS93" s="704"/>
      <c r="TZT93" s="704"/>
      <c r="TZU93" s="704"/>
      <c r="TZV93" s="704"/>
      <c r="TZW93" s="704"/>
      <c r="TZX93" s="704"/>
      <c r="TZY93" s="704"/>
      <c r="TZZ93" s="704"/>
      <c r="UAA93" s="704"/>
      <c r="UAB93" s="704"/>
      <c r="UAC93" s="704"/>
      <c r="UAD93" s="704"/>
      <c r="UAE93" s="704"/>
      <c r="UAF93" s="704"/>
      <c r="UAG93" s="704"/>
      <c r="UAH93" s="704"/>
      <c r="UAI93" s="704"/>
      <c r="UAJ93" s="704"/>
      <c r="UAK93" s="704"/>
      <c r="UAL93" s="704"/>
      <c r="UAM93" s="704"/>
      <c r="UAN93" s="704"/>
      <c r="UAO93" s="704"/>
      <c r="UAP93" s="704"/>
      <c r="UAQ93" s="704"/>
      <c r="UAR93" s="704"/>
      <c r="UAS93" s="704"/>
      <c r="UAT93" s="704"/>
      <c r="UAU93" s="704"/>
      <c r="UAV93" s="704"/>
      <c r="UAW93" s="704"/>
      <c r="UAX93" s="704"/>
      <c r="UAY93" s="704"/>
      <c r="UAZ93" s="704"/>
      <c r="UBA93" s="704"/>
      <c r="UBB93" s="704"/>
      <c r="UBC93" s="704"/>
      <c r="UBD93" s="704"/>
      <c r="UBE93" s="704"/>
      <c r="UBF93" s="704"/>
      <c r="UBG93" s="704"/>
      <c r="UBH93" s="704"/>
      <c r="UBI93" s="704"/>
      <c r="UBJ93" s="704"/>
      <c r="UBK93" s="704"/>
      <c r="UBL93" s="704"/>
      <c r="UBM93" s="704"/>
      <c r="UBN93" s="704"/>
      <c r="UBO93" s="704"/>
      <c r="UBP93" s="704"/>
      <c r="UBQ93" s="704"/>
      <c r="UBR93" s="704"/>
      <c r="UBS93" s="704"/>
      <c r="UBT93" s="704"/>
      <c r="UBU93" s="704"/>
      <c r="UBV93" s="704"/>
      <c r="UBW93" s="704"/>
      <c r="UBX93" s="704"/>
      <c r="UBY93" s="704"/>
      <c r="UBZ93" s="704"/>
      <c r="UCA93" s="704"/>
      <c r="UCB93" s="704"/>
      <c r="UCC93" s="704"/>
      <c r="UCD93" s="704"/>
      <c r="UCE93" s="704"/>
      <c r="UCF93" s="704"/>
      <c r="UCG93" s="704"/>
      <c r="UCH93" s="704"/>
      <c r="UCI93" s="704"/>
      <c r="UCJ93" s="704"/>
      <c r="UCK93" s="704"/>
      <c r="UCL93" s="704"/>
      <c r="UCM93" s="704"/>
      <c r="UCN93" s="704"/>
      <c r="UCO93" s="704"/>
      <c r="UCP93" s="704"/>
      <c r="UCQ93" s="704"/>
      <c r="UCR93" s="704"/>
      <c r="UCS93" s="704"/>
      <c r="UCT93" s="704"/>
      <c r="UCU93" s="704"/>
      <c r="UCV93" s="704"/>
      <c r="UCW93" s="704"/>
      <c r="UCX93" s="704"/>
      <c r="UCY93" s="704"/>
      <c r="UCZ93" s="704"/>
      <c r="UDA93" s="704"/>
      <c r="UDB93" s="704"/>
      <c r="UDC93" s="704"/>
      <c r="UDD93" s="704"/>
      <c r="UDE93" s="704"/>
      <c r="UDF93" s="704"/>
      <c r="UDG93" s="704"/>
      <c r="UDH93" s="704"/>
      <c r="UDI93" s="704"/>
      <c r="UDJ93" s="704"/>
      <c r="UDK93" s="704"/>
      <c r="UDL93" s="704"/>
      <c r="UDM93" s="704"/>
      <c r="UDN93" s="704"/>
      <c r="UDO93" s="704"/>
      <c r="UDP93" s="704"/>
      <c r="UDQ93" s="704"/>
      <c r="UDR93" s="704"/>
      <c r="UDS93" s="704"/>
      <c r="UDT93" s="704"/>
      <c r="UDU93" s="704"/>
      <c r="UDV93" s="704"/>
      <c r="UDW93" s="704"/>
      <c r="UDX93" s="704"/>
      <c r="UDY93" s="704"/>
      <c r="UDZ93" s="704"/>
      <c r="UEA93" s="704"/>
      <c r="UEB93" s="704"/>
      <c r="UEC93" s="704"/>
      <c r="UED93" s="704"/>
      <c r="UEE93" s="704"/>
      <c r="UEF93" s="704"/>
      <c r="UEG93" s="704"/>
      <c r="UEH93" s="704"/>
      <c r="UEI93" s="704"/>
      <c r="UEP93" s="704"/>
      <c r="UEQ93" s="704"/>
      <c r="UER93" s="704"/>
      <c r="UES93" s="704"/>
      <c r="UET93" s="704"/>
      <c r="UEU93" s="704"/>
      <c r="UEV93" s="704"/>
      <c r="UEW93" s="704"/>
      <c r="UEX93" s="704"/>
      <c r="UEY93" s="704"/>
      <c r="UEZ93" s="704"/>
      <c r="UFA93" s="704"/>
      <c r="UFB93" s="704"/>
      <c r="UFC93" s="704"/>
      <c r="UFD93" s="704"/>
      <c r="UFE93" s="704"/>
      <c r="UFF93" s="704"/>
      <c r="UFG93" s="704"/>
      <c r="UFH93" s="704"/>
      <c r="UFI93" s="704"/>
      <c r="UFJ93" s="704"/>
      <c r="UFK93" s="704"/>
      <c r="UFL93" s="704"/>
      <c r="UFM93" s="704"/>
      <c r="UFN93" s="704"/>
      <c r="UFO93" s="704"/>
      <c r="UFP93" s="704"/>
      <c r="UFQ93" s="704"/>
      <c r="UFR93" s="704"/>
      <c r="UFS93" s="704"/>
      <c r="UFT93" s="704"/>
      <c r="UFU93" s="704"/>
      <c r="UFV93" s="704"/>
      <c r="UFW93" s="704"/>
      <c r="UFX93" s="704"/>
      <c r="UFY93" s="704"/>
      <c r="UFZ93" s="704"/>
      <c r="UGA93" s="704"/>
      <c r="UGB93" s="704"/>
      <c r="UGC93" s="704"/>
      <c r="UGD93" s="704"/>
      <c r="UGE93" s="704"/>
      <c r="UGF93" s="704"/>
      <c r="UGG93" s="704"/>
      <c r="UGH93" s="704"/>
      <c r="UGI93" s="704"/>
      <c r="UGJ93" s="704"/>
      <c r="UGK93" s="704"/>
      <c r="UGL93" s="704"/>
      <c r="UGM93" s="704"/>
      <c r="UGN93" s="704"/>
      <c r="UGO93" s="704"/>
      <c r="UGP93" s="704"/>
      <c r="UGQ93" s="704"/>
      <c r="UGR93" s="704"/>
      <c r="UGS93" s="704"/>
      <c r="UGT93" s="704"/>
      <c r="UGU93" s="704"/>
      <c r="UGV93" s="704"/>
      <c r="UGW93" s="704"/>
      <c r="UGX93" s="704"/>
      <c r="UGY93" s="704"/>
      <c r="UGZ93" s="704"/>
      <c r="UHA93" s="704"/>
      <c r="UHB93" s="704"/>
      <c r="UHC93" s="704"/>
      <c r="UHD93" s="704"/>
      <c r="UHE93" s="704"/>
      <c r="UHF93" s="704"/>
      <c r="UHG93" s="704"/>
      <c r="UHH93" s="704"/>
      <c r="UHI93" s="704"/>
      <c r="UHJ93" s="704"/>
      <c r="UHK93" s="704"/>
      <c r="UHL93" s="704"/>
      <c r="UHM93" s="704"/>
      <c r="UHN93" s="704"/>
      <c r="UHO93" s="704"/>
      <c r="UHP93" s="704"/>
      <c r="UHQ93" s="704"/>
      <c r="UHR93" s="704"/>
      <c r="UHS93" s="704"/>
      <c r="UHT93" s="704"/>
      <c r="UHU93" s="704"/>
      <c r="UHV93" s="704"/>
      <c r="UHW93" s="704"/>
      <c r="UHX93" s="704"/>
      <c r="UHY93" s="704"/>
      <c r="UHZ93" s="704"/>
      <c r="UIA93" s="704"/>
      <c r="UIB93" s="704"/>
      <c r="UIC93" s="704"/>
      <c r="UID93" s="704"/>
      <c r="UIE93" s="704"/>
      <c r="UIF93" s="704"/>
      <c r="UIG93" s="704"/>
      <c r="UIH93" s="704"/>
      <c r="UII93" s="704"/>
      <c r="UIJ93" s="704"/>
      <c r="UIK93" s="704"/>
      <c r="UIL93" s="704"/>
      <c r="UIM93" s="704"/>
      <c r="UIN93" s="704"/>
      <c r="UIO93" s="704"/>
      <c r="UIP93" s="704"/>
      <c r="UIQ93" s="704"/>
      <c r="UIR93" s="704"/>
      <c r="UIS93" s="704"/>
      <c r="UIT93" s="704"/>
      <c r="UIU93" s="704"/>
      <c r="UIV93" s="704"/>
      <c r="UIW93" s="704"/>
      <c r="UIX93" s="704"/>
      <c r="UIY93" s="704"/>
      <c r="UIZ93" s="704"/>
      <c r="UJA93" s="704"/>
      <c r="UJB93" s="704"/>
      <c r="UJC93" s="704"/>
      <c r="UJD93" s="704"/>
      <c r="UJE93" s="704"/>
      <c r="UJF93" s="704"/>
      <c r="UJG93" s="704"/>
      <c r="UJH93" s="704"/>
      <c r="UJI93" s="704"/>
      <c r="UJJ93" s="704"/>
      <c r="UJK93" s="704"/>
      <c r="UJL93" s="704"/>
      <c r="UJM93" s="704"/>
      <c r="UJN93" s="704"/>
      <c r="UJO93" s="704"/>
      <c r="UJP93" s="704"/>
      <c r="UJQ93" s="704"/>
      <c r="UJR93" s="704"/>
      <c r="UJS93" s="704"/>
      <c r="UJT93" s="704"/>
      <c r="UJU93" s="704"/>
      <c r="UJV93" s="704"/>
      <c r="UJW93" s="704"/>
      <c r="UJX93" s="704"/>
      <c r="UJY93" s="704"/>
      <c r="UJZ93" s="704"/>
      <c r="UKA93" s="704"/>
      <c r="UKB93" s="704"/>
      <c r="UKC93" s="704"/>
      <c r="UKD93" s="704"/>
      <c r="UKE93" s="704"/>
      <c r="UKF93" s="704"/>
      <c r="UKG93" s="704"/>
      <c r="UKH93" s="704"/>
      <c r="UKI93" s="704"/>
      <c r="UKJ93" s="704"/>
      <c r="UKK93" s="704"/>
      <c r="UKL93" s="704"/>
      <c r="UKM93" s="704"/>
      <c r="UKN93" s="704"/>
      <c r="UKO93" s="704"/>
      <c r="UKP93" s="704"/>
      <c r="UKQ93" s="704"/>
      <c r="UKR93" s="704"/>
      <c r="UKS93" s="704"/>
      <c r="UKT93" s="704"/>
      <c r="UKU93" s="704"/>
      <c r="UKV93" s="704"/>
      <c r="UKW93" s="704"/>
      <c r="UKX93" s="704"/>
      <c r="UKY93" s="704"/>
      <c r="UKZ93" s="704"/>
      <c r="ULA93" s="704"/>
      <c r="ULB93" s="704"/>
      <c r="ULC93" s="704"/>
      <c r="ULD93" s="704"/>
      <c r="ULE93" s="704"/>
      <c r="ULF93" s="704"/>
      <c r="ULG93" s="704"/>
      <c r="ULH93" s="704"/>
      <c r="ULI93" s="704"/>
      <c r="ULJ93" s="704"/>
      <c r="ULK93" s="704"/>
      <c r="ULL93" s="704"/>
      <c r="ULM93" s="704"/>
      <c r="ULN93" s="704"/>
      <c r="ULO93" s="704"/>
      <c r="ULP93" s="704"/>
      <c r="ULQ93" s="704"/>
      <c r="ULR93" s="704"/>
      <c r="ULS93" s="704"/>
      <c r="ULT93" s="704"/>
      <c r="ULU93" s="704"/>
      <c r="ULV93" s="704"/>
      <c r="ULW93" s="704"/>
      <c r="ULX93" s="704"/>
      <c r="ULY93" s="704"/>
      <c r="ULZ93" s="704"/>
      <c r="UMA93" s="704"/>
      <c r="UMB93" s="704"/>
      <c r="UMC93" s="704"/>
      <c r="UMD93" s="704"/>
      <c r="UME93" s="704"/>
      <c r="UMF93" s="704"/>
      <c r="UMG93" s="704"/>
      <c r="UMH93" s="704"/>
      <c r="UMI93" s="704"/>
      <c r="UMJ93" s="704"/>
      <c r="UMK93" s="704"/>
      <c r="UML93" s="704"/>
      <c r="UMM93" s="704"/>
      <c r="UMN93" s="704"/>
      <c r="UMO93" s="704"/>
      <c r="UMP93" s="704"/>
      <c r="UMQ93" s="704"/>
      <c r="UMR93" s="704"/>
      <c r="UMS93" s="704"/>
      <c r="UMT93" s="704"/>
      <c r="UMU93" s="704"/>
      <c r="UMV93" s="704"/>
      <c r="UMW93" s="704"/>
      <c r="UMX93" s="704"/>
      <c r="UMY93" s="704"/>
      <c r="UMZ93" s="704"/>
      <c r="UNA93" s="704"/>
      <c r="UNB93" s="704"/>
      <c r="UNC93" s="704"/>
      <c r="UND93" s="704"/>
      <c r="UNE93" s="704"/>
      <c r="UNF93" s="704"/>
      <c r="UNG93" s="704"/>
      <c r="UNH93" s="704"/>
      <c r="UNI93" s="704"/>
      <c r="UNJ93" s="704"/>
      <c r="UNK93" s="704"/>
      <c r="UNL93" s="704"/>
      <c r="UNM93" s="704"/>
      <c r="UNN93" s="704"/>
      <c r="UNO93" s="704"/>
      <c r="UNP93" s="704"/>
      <c r="UNQ93" s="704"/>
      <c r="UNR93" s="704"/>
      <c r="UNS93" s="704"/>
      <c r="UNT93" s="704"/>
      <c r="UNU93" s="704"/>
      <c r="UNV93" s="704"/>
      <c r="UNW93" s="704"/>
      <c r="UNX93" s="704"/>
      <c r="UNY93" s="704"/>
      <c r="UNZ93" s="704"/>
      <c r="UOA93" s="704"/>
      <c r="UOB93" s="704"/>
      <c r="UOC93" s="704"/>
      <c r="UOD93" s="704"/>
      <c r="UOE93" s="704"/>
      <c r="UOL93" s="704"/>
      <c r="UOM93" s="704"/>
      <c r="UON93" s="704"/>
      <c r="UOO93" s="704"/>
      <c r="UOP93" s="704"/>
      <c r="UOQ93" s="704"/>
      <c r="UOR93" s="704"/>
      <c r="UOS93" s="704"/>
      <c r="UOT93" s="704"/>
      <c r="UOU93" s="704"/>
      <c r="UOV93" s="704"/>
      <c r="UOW93" s="704"/>
      <c r="UOX93" s="704"/>
      <c r="UOY93" s="704"/>
      <c r="UOZ93" s="704"/>
      <c r="UPA93" s="704"/>
      <c r="UPB93" s="704"/>
      <c r="UPC93" s="704"/>
      <c r="UPD93" s="704"/>
      <c r="UPE93" s="704"/>
      <c r="UPF93" s="704"/>
      <c r="UPG93" s="704"/>
      <c r="UPH93" s="704"/>
      <c r="UPI93" s="704"/>
      <c r="UPJ93" s="704"/>
      <c r="UPK93" s="704"/>
      <c r="UPL93" s="704"/>
      <c r="UPM93" s="704"/>
      <c r="UPN93" s="704"/>
      <c r="UPO93" s="704"/>
      <c r="UPP93" s="704"/>
      <c r="UPQ93" s="704"/>
      <c r="UPR93" s="704"/>
      <c r="UPS93" s="704"/>
      <c r="UPT93" s="704"/>
      <c r="UPU93" s="704"/>
      <c r="UPV93" s="704"/>
      <c r="UPW93" s="704"/>
      <c r="UPX93" s="704"/>
      <c r="UPY93" s="704"/>
      <c r="UPZ93" s="704"/>
      <c r="UQA93" s="704"/>
      <c r="UQB93" s="704"/>
      <c r="UQC93" s="704"/>
      <c r="UQD93" s="704"/>
      <c r="UQE93" s="704"/>
      <c r="UQF93" s="704"/>
      <c r="UQG93" s="704"/>
      <c r="UQH93" s="704"/>
      <c r="UQI93" s="704"/>
      <c r="UQJ93" s="704"/>
      <c r="UQK93" s="704"/>
      <c r="UQL93" s="704"/>
      <c r="UQM93" s="704"/>
      <c r="UQN93" s="704"/>
      <c r="UQO93" s="704"/>
      <c r="UQP93" s="704"/>
      <c r="UQQ93" s="704"/>
      <c r="UQR93" s="704"/>
      <c r="UQS93" s="704"/>
      <c r="UQT93" s="704"/>
      <c r="UQU93" s="704"/>
      <c r="UQV93" s="704"/>
      <c r="UQW93" s="704"/>
      <c r="UQX93" s="704"/>
      <c r="UQY93" s="704"/>
      <c r="UQZ93" s="704"/>
      <c r="URA93" s="704"/>
      <c r="URB93" s="704"/>
      <c r="URC93" s="704"/>
      <c r="URD93" s="704"/>
      <c r="URE93" s="704"/>
      <c r="URF93" s="704"/>
      <c r="URG93" s="704"/>
      <c r="URH93" s="704"/>
      <c r="URI93" s="704"/>
      <c r="URJ93" s="704"/>
      <c r="URK93" s="704"/>
      <c r="URL93" s="704"/>
      <c r="URM93" s="704"/>
      <c r="URN93" s="704"/>
      <c r="URO93" s="704"/>
      <c r="URP93" s="704"/>
      <c r="URQ93" s="704"/>
      <c r="URR93" s="704"/>
      <c r="URS93" s="704"/>
      <c r="URT93" s="704"/>
      <c r="URU93" s="704"/>
      <c r="URV93" s="704"/>
      <c r="URW93" s="704"/>
      <c r="URX93" s="704"/>
      <c r="URY93" s="704"/>
      <c r="URZ93" s="704"/>
      <c r="USA93" s="704"/>
      <c r="USB93" s="704"/>
      <c r="USC93" s="704"/>
      <c r="USD93" s="704"/>
      <c r="USE93" s="704"/>
      <c r="USF93" s="704"/>
      <c r="USG93" s="704"/>
      <c r="USH93" s="704"/>
      <c r="USI93" s="704"/>
      <c r="USJ93" s="704"/>
      <c r="USK93" s="704"/>
      <c r="USL93" s="704"/>
      <c r="USM93" s="704"/>
      <c r="USN93" s="704"/>
      <c r="USO93" s="704"/>
      <c r="USP93" s="704"/>
      <c r="USQ93" s="704"/>
      <c r="USR93" s="704"/>
      <c r="USS93" s="704"/>
      <c r="UST93" s="704"/>
      <c r="USU93" s="704"/>
      <c r="USV93" s="704"/>
      <c r="USW93" s="704"/>
      <c r="USX93" s="704"/>
      <c r="USY93" s="704"/>
      <c r="USZ93" s="704"/>
      <c r="UTA93" s="704"/>
      <c r="UTB93" s="704"/>
      <c r="UTC93" s="704"/>
      <c r="UTD93" s="704"/>
      <c r="UTE93" s="704"/>
      <c r="UTF93" s="704"/>
      <c r="UTG93" s="704"/>
      <c r="UTH93" s="704"/>
      <c r="UTI93" s="704"/>
      <c r="UTJ93" s="704"/>
      <c r="UTK93" s="704"/>
      <c r="UTL93" s="704"/>
      <c r="UTM93" s="704"/>
      <c r="UTN93" s="704"/>
      <c r="UTO93" s="704"/>
      <c r="UTP93" s="704"/>
      <c r="UTQ93" s="704"/>
      <c r="UTR93" s="704"/>
      <c r="UTS93" s="704"/>
      <c r="UTT93" s="704"/>
      <c r="UTU93" s="704"/>
      <c r="UTV93" s="704"/>
      <c r="UTW93" s="704"/>
      <c r="UTX93" s="704"/>
      <c r="UTY93" s="704"/>
      <c r="UTZ93" s="704"/>
      <c r="UUA93" s="704"/>
      <c r="UUB93" s="704"/>
      <c r="UUC93" s="704"/>
      <c r="UUD93" s="704"/>
      <c r="UUE93" s="704"/>
      <c r="UUF93" s="704"/>
      <c r="UUG93" s="704"/>
      <c r="UUH93" s="704"/>
      <c r="UUI93" s="704"/>
      <c r="UUJ93" s="704"/>
      <c r="UUK93" s="704"/>
      <c r="UUL93" s="704"/>
      <c r="UUM93" s="704"/>
      <c r="UUN93" s="704"/>
      <c r="UUO93" s="704"/>
      <c r="UUP93" s="704"/>
      <c r="UUQ93" s="704"/>
      <c r="UUR93" s="704"/>
      <c r="UUS93" s="704"/>
      <c r="UUT93" s="704"/>
      <c r="UUU93" s="704"/>
      <c r="UUV93" s="704"/>
      <c r="UUW93" s="704"/>
      <c r="UUX93" s="704"/>
      <c r="UUY93" s="704"/>
      <c r="UUZ93" s="704"/>
      <c r="UVA93" s="704"/>
      <c r="UVB93" s="704"/>
      <c r="UVC93" s="704"/>
      <c r="UVD93" s="704"/>
      <c r="UVE93" s="704"/>
      <c r="UVF93" s="704"/>
      <c r="UVG93" s="704"/>
      <c r="UVH93" s="704"/>
      <c r="UVI93" s="704"/>
      <c r="UVJ93" s="704"/>
      <c r="UVK93" s="704"/>
      <c r="UVL93" s="704"/>
      <c r="UVM93" s="704"/>
      <c r="UVN93" s="704"/>
      <c r="UVO93" s="704"/>
      <c r="UVP93" s="704"/>
      <c r="UVQ93" s="704"/>
      <c r="UVR93" s="704"/>
      <c r="UVS93" s="704"/>
      <c r="UVT93" s="704"/>
      <c r="UVU93" s="704"/>
      <c r="UVV93" s="704"/>
      <c r="UVW93" s="704"/>
      <c r="UVX93" s="704"/>
      <c r="UVY93" s="704"/>
      <c r="UVZ93" s="704"/>
      <c r="UWA93" s="704"/>
      <c r="UWB93" s="704"/>
      <c r="UWC93" s="704"/>
      <c r="UWD93" s="704"/>
      <c r="UWE93" s="704"/>
      <c r="UWF93" s="704"/>
      <c r="UWG93" s="704"/>
      <c r="UWH93" s="704"/>
      <c r="UWI93" s="704"/>
      <c r="UWJ93" s="704"/>
      <c r="UWK93" s="704"/>
      <c r="UWL93" s="704"/>
      <c r="UWM93" s="704"/>
      <c r="UWN93" s="704"/>
      <c r="UWO93" s="704"/>
      <c r="UWP93" s="704"/>
      <c r="UWQ93" s="704"/>
      <c r="UWR93" s="704"/>
      <c r="UWS93" s="704"/>
      <c r="UWT93" s="704"/>
      <c r="UWU93" s="704"/>
      <c r="UWV93" s="704"/>
      <c r="UWW93" s="704"/>
      <c r="UWX93" s="704"/>
      <c r="UWY93" s="704"/>
      <c r="UWZ93" s="704"/>
      <c r="UXA93" s="704"/>
      <c r="UXB93" s="704"/>
      <c r="UXC93" s="704"/>
      <c r="UXD93" s="704"/>
      <c r="UXE93" s="704"/>
      <c r="UXF93" s="704"/>
      <c r="UXG93" s="704"/>
      <c r="UXH93" s="704"/>
      <c r="UXI93" s="704"/>
      <c r="UXJ93" s="704"/>
      <c r="UXK93" s="704"/>
      <c r="UXL93" s="704"/>
      <c r="UXM93" s="704"/>
      <c r="UXN93" s="704"/>
      <c r="UXO93" s="704"/>
      <c r="UXP93" s="704"/>
      <c r="UXQ93" s="704"/>
      <c r="UXR93" s="704"/>
      <c r="UXS93" s="704"/>
      <c r="UXT93" s="704"/>
      <c r="UXU93" s="704"/>
      <c r="UXV93" s="704"/>
      <c r="UXW93" s="704"/>
      <c r="UXX93" s="704"/>
      <c r="UXY93" s="704"/>
      <c r="UXZ93" s="704"/>
      <c r="UYA93" s="704"/>
      <c r="UYH93" s="704"/>
      <c r="UYI93" s="704"/>
      <c r="UYJ93" s="704"/>
      <c r="UYK93" s="704"/>
      <c r="UYL93" s="704"/>
      <c r="UYM93" s="704"/>
      <c r="UYN93" s="704"/>
      <c r="UYO93" s="704"/>
      <c r="UYP93" s="704"/>
      <c r="UYQ93" s="704"/>
      <c r="UYR93" s="704"/>
      <c r="UYS93" s="704"/>
      <c r="UYT93" s="704"/>
      <c r="UYU93" s="704"/>
      <c r="UYV93" s="704"/>
      <c r="UYW93" s="704"/>
      <c r="UYX93" s="704"/>
      <c r="UYY93" s="704"/>
      <c r="UYZ93" s="704"/>
      <c r="UZA93" s="704"/>
      <c r="UZB93" s="704"/>
      <c r="UZC93" s="704"/>
      <c r="UZD93" s="704"/>
      <c r="UZE93" s="704"/>
      <c r="UZF93" s="704"/>
      <c r="UZG93" s="704"/>
      <c r="UZH93" s="704"/>
      <c r="UZI93" s="704"/>
      <c r="UZJ93" s="704"/>
      <c r="UZK93" s="704"/>
      <c r="UZL93" s="704"/>
      <c r="UZM93" s="704"/>
      <c r="UZN93" s="704"/>
      <c r="UZO93" s="704"/>
      <c r="UZP93" s="704"/>
      <c r="UZQ93" s="704"/>
      <c r="UZR93" s="704"/>
      <c r="UZS93" s="704"/>
      <c r="UZT93" s="704"/>
      <c r="UZU93" s="704"/>
      <c r="UZV93" s="704"/>
      <c r="UZW93" s="704"/>
      <c r="UZX93" s="704"/>
      <c r="UZY93" s="704"/>
      <c r="UZZ93" s="704"/>
      <c r="VAA93" s="704"/>
      <c r="VAB93" s="704"/>
      <c r="VAC93" s="704"/>
      <c r="VAD93" s="704"/>
      <c r="VAE93" s="704"/>
      <c r="VAF93" s="704"/>
      <c r="VAG93" s="704"/>
      <c r="VAH93" s="704"/>
      <c r="VAI93" s="704"/>
      <c r="VAJ93" s="704"/>
      <c r="VAK93" s="704"/>
      <c r="VAL93" s="704"/>
      <c r="VAM93" s="704"/>
      <c r="VAN93" s="704"/>
      <c r="VAO93" s="704"/>
      <c r="VAP93" s="704"/>
      <c r="VAQ93" s="704"/>
      <c r="VAR93" s="704"/>
      <c r="VAS93" s="704"/>
      <c r="VAT93" s="704"/>
      <c r="VAU93" s="704"/>
      <c r="VAV93" s="704"/>
      <c r="VAW93" s="704"/>
      <c r="VAX93" s="704"/>
      <c r="VAY93" s="704"/>
      <c r="VAZ93" s="704"/>
      <c r="VBA93" s="704"/>
      <c r="VBB93" s="704"/>
      <c r="VBC93" s="704"/>
      <c r="VBD93" s="704"/>
      <c r="VBE93" s="704"/>
      <c r="VBF93" s="704"/>
      <c r="VBG93" s="704"/>
      <c r="VBH93" s="704"/>
      <c r="VBI93" s="704"/>
      <c r="VBJ93" s="704"/>
      <c r="VBK93" s="704"/>
      <c r="VBL93" s="704"/>
      <c r="VBM93" s="704"/>
      <c r="VBN93" s="704"/>
      <c r="VBO93" s="704"/>
      <c r="VBP93" s="704"/>
      <c r="VBQ93" s="704"/>
      <c r="VBR93" s="704"/>
      <c r="VBS93" s="704"/>
      <c r="VBT93" s="704"/>
      <c r="VBU93" s="704"/>
      <c r="VBV93" s="704"/>
      <c r="VBW93" s="704"/>
      <c r="VBX93" s="704"/>
      <c r="VBY93" s="704"/>
      <c r="VBZ93" s="704"/>
      <c r="VCA93" s="704"/>
      <c r="VCB93" s="704"/>
      <c r="VCC93" s="704"/>
      <c r="VCD93" s="704"/>
      <c r="VCE93" s="704"/>
      <c r="VCF93" s="704"/>
      <c r="VCG93" s="704"/>
      <c r="VCH93" s="704"/>
      <c r="VCI93" s="704"/>
      <c r="VCJ93" s="704"/>
      <c r="VCK93" s="704"/>
      <c r="VCL93" s="704"/>
      <c r="VCM93" s="704"/>
      <c r="VCN93" s="704"/>
      <c r="VCO93" s="704"/>
      <c r="VCP93" s="704"/>
      <c r="VCQ93" s="704"/>
      <c r="VCR93" s="704"/>
      <c r="VCS93" s="704"/>
      <c r="VCT93" s="704"/>
      <c r="VCU93" s="704"/>
      <c r="VCV93" s="704"/>
      <c r="VCW93" s="704"/>
      <c r="VCX93" s="704"/>
      <c r="VCY93" s="704"/>
      <c r="VCZ93" s="704"/>
      <c r="VDA93" s="704"/>
      <c r="VDB93" s="704"/>
      <c r="VDC93" s="704"/>
      <c r="VDD93" s="704"/>
      <c r="VDE93" s="704"/>
      <c r="VDF93" s="704"/>
      <c r="VDG93" s="704"/>
      <c r="VDH93" s="704"/>
      <c r="VDI93" s="704"/>
      <c r="VDJ93" s="704"/>
      <c r="VDK93" s="704"/>
      <c r="VDL93" s="704"/>
      <c r="VDM93" s="704"/>
      <c r="VDN93" s="704"/>
      <c r="VDO93" s="704"/>
      <c r="VDP93" s="704"/>
      <c r="VDQ93" s="704"/>
      <c r="VDR93" s="704"/>
      <c r="VDS93" s="704"/>
      <c r="VDT93" s="704"/>
      <c r="VDU93" s="704"/>
      <c r="VDV93" s="704"/>
      <c r="VDW93" s="704"/>
      <c r="VDX93" s="704"/>
      <c r="VDY93" s="704"/>
      <c r="VDZ93" s="704"/>
      <c r="VEA93" s="704"/>
      <c r="VEB93" s="704"/>
      <c r="VEC93" s="704"/>
      <c r="VED93" s="704"/>
      <c r="VEE93" s="704"/>
      <c r="VEF93" s="704"/>
      <c r="VEG93" s="704"/>
      <c r="VEH93" s="704"/>
      <c r="VEI93" s="704"/>
      <c r="VEJ93" s="704"/>
      <c r="VEK93" s="704"/>
      <c r="VEL93" s="704"/>
      <c r="VEM93" s="704"/>
      <c r="VEN93" s="704"/>
      <c r="VEO93" s="704"/>
      <c r="VEP93" s="704"/>
      <c r="VEQ93" s="704"/>
      <c r="VER93" s="704"/>
      <c r="VES93" s="704"/>
      <c r="VET93" s="704"/>
      <c r="VEU93" s="704"/>
      <c r="VEV93" s="704"/>
      <c r="VEW93" s="704"/>
      <c r="VEX93" s="704"/>
      <c r="VEY93" s="704"/>
      <c r="VEZ93" s="704"/>
      <c r="VFA93" s="704"/>
      <c r="VFB93" s="704"/>
      <c r="VFC93" s="704"/>
      <c r="VFD93" s="704"/>
      <c r="VFE93" s="704"/>
      <c r="VFF93" s="704"/>
      <c r="VFG93" s="704"/>
      <c r="VFH93" s="704"/>
      <c r="VFI93" s="704"/>
      <c r="VFJ93" s="704"/>
      <c r="VFK93" s="704"/>
      <c r="VFL93" s="704"/>
      <c r="VFM93" s="704"/>
      <c r="VFN93" s="704"/>
      <c r="VFO93" s="704"/>
      <c r="VFP93" s="704"/>
      <c r="VFQ93" s="704"/>
      <c r="VFR93" s="704"/>
      <c r="VFS93" s="704"/>
      <c r="VFT93" s="704"/>
      <c r="VFU93" s="704"/>
      <c r="VFV93" s="704"/>
      <c r="VFW93" s="704"/>
      <c r="VFX93" s="704"/>
      <c r="VFY93" s="704"/>
      <c r="VFZ93" s="704"/>
      <c r="VGA93" s="704"/>
      <c r="VGB93" s="704"/>
      <c r="VGC93" s="704"/>
      <c r="VGD93" s="704"/>
      <c r="VGE93" s="704"/>
      <c r="VGF93" s="704"/>
      <c r="VGG93" s="704"/>
      <c r="VGH93" s="704"/>
      <c r="VGI93" s="704"/>
      <c r="VGJ93" s="704"/>
      <c r="VGK93" s="704"/>
      <c r="VGL93" s="704"/>
      <c r="VGM93" s="704"/>
      <c r="VGN93" s="704"/>
      <c r="VGO93" s="704"/>
      <c r="VGP93" s="704"/>
      <c r="VGQ93" s="704"/>
      <c r="VGR93" s="704"/>
      <c r="VGS93" s="704"/>
      <c r="VGT93" s="704"/>
      <c r="VGU93" s="704"/>
      <c r="VGV93" s="704"/>
      <c r="VGW93" s="704"/>
      <c r="VGX93" s="704"/>
      <c r="VGY93" s="704"/>
      <c r="VGZ93" s="704"/>
      <c r="VHA93" s="704"/>
      <c r="VHB93" s="704"/>
      <c r="VHC93" s="704"/>
      <c r="VHD93" s="704"/>
      <c r="VHE93" s="704"/>
      <c r="VHF93" s="704"/>
      <c r="VHG93" s="704"/>
      <c r="VHH93" s="704"/>
      <c r="VHI93" s="704"/>
      <c r="VHJ93" s="704"/>
      <c r="VHK93" s="704"/>
      <c r="VHL93" s="704"/>
      <c r="VHM93" s="704"/>
      <c r="VHN93" s="704"/>
      <c r="VHO93" s="704"/>
      <c r="VHP93" s="704"/>
      <c r="VHQ93" s="704"/>
      <c r="VHR93" s="704"/>
      <c r="VHS93" s="704"/>
      <c r="VHT93" s="704"/>
      <c r="VHU93" s="704"/>
      <c r="VHV93" s="704"/>
      <c r="VHW93" s="704"/>
      <c r="VID93" s="704"/>
      <c r="VIE93" s="704"/>
      <c r="VIF93" s="704"/>
      <c r="VIG93" s="704"/>
      <c r="VIH93" s="704"/>
      <c r="VII93" s="704"/>
      <c r="VIJ93" s="704"/>
      <c r="VIK93" s="704"/>
      <c r="VIL93" s="704"/>
      <c r="VIM93" s="704"/>
      <c r="VIN93" s="704"/>
      <c r="VIO93" s="704"/>
      <c r="VIP93" s="704"/>
      <c r="VIQ93" s="704"/>
      <c r="VIR93" s="704"/>
      <c r="VIS93" s="704"/>
      <c r="VIT93" s="704"/>
      <c r="VIU93" s="704"/>
      <c r="VIV93" s="704"/>
      <c r="VIW93" s="704"/>
      <c r="VIX93" s="704"/>
      <c r="VIY93" s="704"/>
      <c r="VIZ93" s="704"/>
      <c r="VJA93" s="704"/>
      <c r="VJB93" s="704"/>
      <c r="VJC93" s="704"/>
      <c r="VJD93" s="704"/>
      <c r="VJE93" s="704"/>
      <c r="VJF93" s="704"/>
      <c r="VJG93" s="704"/>
      <c r="VJH93" s="704"/>
      <c r="VJI93" s="704"/>
      <c r="VJJ93" s="704"/>
      <c r="VJK93" s="704"/>
      <c r="VJL93" s="704"/>
      <c r="VJM93" s="704"/>
      <c r="VJN93" s="704"/>
      <c r="VJO93" s="704"/>
      <c r="VJP93" s="704"/>
      <c r="VJQ93" s="704"/>
      <c r="VJR93" s="704"/>
      <c r="VJS93" s="704"/>
      <c r="VJT93" s="704"/>
      <c r="VJU93" s="704"/>
      <c r="VJV93" s="704"/>
      <c r="VJW93" s="704"/>
      <c r="VJX93" s="704"/>
      <c r="VJY93" s="704"/>
      <c r="VJZ93" s="704"/>
      <c r="VKA93" s="704"/>
      <c r="VKB93" s="704"/>
      <c r="VKC93" s="704"/>
      <c r="VKD93" s="704"/>
      <c r="VKE93" s="704"/>
      <c r="VKF93" s="704"/>
      <c r="VKG93" s="704"/>
      <c r="VKH93" s="704"/>
      <c r="VKI93" s="704"/>
      <c r="VKJ93" s="704"/>
      <c r="VKK93" s="704"/>
      <c r="VKL93" s="704"/>
      <c r="VKM93" s="704"/>
      <c r="VKN93" s="704"/>
      <c r="VKO93" s="704"/>
      <c r="VKP93" s="704"/>
      <c r="VKQ93" s="704"/>
      <c r="VKR93" s="704"/>
      <c r="VKS93" s="704"/>
      <c r="VKT93" s="704"/>
      <c r="VKU93" s="704"/>
      <c r="VKV93" s="704"/>
      <c r="VKW93" s="704"/>
      <c r="VKX93" s="704"/>
      <c r="VKY93" s="704"/>
      <c r="VKZ93" s="704"/>
      <c r="VLA93" s="704"/>
      <c r="VLB93" s="704"/>
      <c r="VLC93" s="704"/>
      <c r="VLD93" s="704"/>
      <c r="VLE93" s="704"/>
      <c r="VLF93" s="704"/>
      <c r="VLG93" s="704"/>
      <c r="VLH93" s="704"/>
      <c r="VLI93" s="704"/>
      <c r="VLJ93" s="704"/>
      <c r="VLK93" s="704"/>
      <c r="VLL93" s="704"/>
      <c r="VLM93" s="704"/>
      <c r="VLN93" s="704"/>
      <c r="VLO93" s="704"/>
      <c r="VLP93" s="704"/>
      <c r="VLQ93" s="704"/>
      <c r="VLR93" s="704"/>
      <c r="VLS93" s="704"/>
      <c r="VLT93" s="704"/>
      <c r="VLU93" s="704"/>
      <c r="VLV93" s="704"/>
      <c r="VLW93" s="704"/>
      <c r="VLX93" s="704"/>
      <c r="VLY93" s="704"/>
      <c r="VLZ93" s="704"/>
      <c r="VMA93" s="704"/>
      <c r="VMB93" s="704"/>
      <c r="VMC93" s="704"/>
      <c r="VMD93" s="704"/>
      <c r="VME93" s="704"/>
      <c r="VMF93" s="704"/>
      <c r="VMG93" s="704"/>
      <c r="VMH93" s="704"/>
      <c r="VMI93" s="704"/>
      <c r="VMJ93" s="704"/>
      <c r="VMK93" s="704"/>
      <c r="VML93" s="704"/>
      <c r="VMM93" s="704"/>
      <c r="VMN93" s="704"/>
      <c r="VMO93" s="704"/>
      <c r="VMP93" s="704"/>
      <c r="VMQ93" s="704"/>
      <c r="VMR93" s="704"/>
      <c r="VMS93" s="704"/>
      <c r="VMT93" s="704"/>
      <c r="VMU93" s="704"/>
      <c r="VMV93" s="704"/>
      <c r="VMW93" s="704"/>
      <c r="VMX93" s="704"/>
      <c r="VMY93" s="704"/>
      <c r="VMZ93" s="704"/>
      <c r="VNA93" s="704"/>
      <c r="VNB93" s="704"/>
      <c r="VNC93" s="704"/>
      <c r="VND93" s="704"/>
      <c r="VNE93" s="704"/>
      <c r="VNF93" s="704"/>
      <c r="VNG93" s="704"/>
      <c r="VNH93" s="704"/>
      <c r="VNI93" s="704"/>
      <c r="VNJ93" s="704"/>
      <c r="VNK93" s="704"/>
      <c r="VNL93" s="704"/>
      <c r="VNM93" s="704"/>
      <c r="VNN93" s="704"/>
      <c r="VNO93" s="704"/>
      <c r="VNP93" s="704"/>
      <c r="VNQ93" s="704"/>
      <c r="VNR93" s="704"/>
      <c r="VNS93" s="704"/>
      <c r="VNT93" s="704"/>
      <c r="VNU93" s="704"/>
      <c r="VNV93" s="704"/>
      <c r="VNW93" s="704"/>
      <c r="VNX93" s="704"/>
      <c r="VNY93" s="704"/>
      <c r="VNZ93" s="704"/>
      <c r="VOA93" s="704"/>
      <c r="VOB93" s="704"/>
      <c r="VOC93" s="704"/>
      <c r="VOD93" s="704"/>
      <c r="VOE93" s="704"/>
      <c r="VOF93" s="704"/>
      <c r="VOG93" s="704"/>
      <c r="VOH93" s="704"/>
      <c r="VOI93" s="704"/>
      <c r="VOJ93" s="704"/>
      <c r="VOK93" s="704"/>
      <c r="VOL93" s="704"/>
      <c r="VOM93" s="704"/>
      <c r="VON93" s="704"/>
      <c r="VOO93" s="704"/>
      <c r="VOP93" s="704"/>
      <c r="VOQ93" s="704"/>
      <c r="VOR93" s="704"/>
      <c r="VOS93" s="704"/>
      <c r="VOT93" s="704"/>
      <c r="VOU93" s="704"/>
      <c r="VOV93" s="704"/>
      <c r="VOW93" s="704"/>
      <c r="VOX93" s="704"/>
      <c r="VOY93" s="704"/>
      <c r="VOZ93" s="704"/>
      <c r="VPA93" s="704"/>
      <c r="VPB93" s="704"/>
      <c r="VPC93" s="704"/>
      <c r="VPD93" s="704"/>
      <c r="VPE93" s="704"/>
      <c r="VPF93" s="704"/>
      <c r="VPG93" s="704"/>
      <c r="VPH93" s="704"/>
      <c r="VPI93" s="704"/>
      <c r="VPJ93" s="704"/>
      <c r="VPK93" s="704"/>
      <c r="VPL93" s="704"/>
      <c r="VPM93" s="704"/>
      <c r="VPN93" s="704"/>
      <c r="VPO93" s="704"/>
      <c r="VPP93" s="704"/>
      <c r="VPQ93" s="704"/>
      <c r="VPR93" s="704"/>
      <c r="VPS93" s="704"/>
      <c r="VPT93" s="704"/>
      <c r="VPU93" s="704"/>
      <c r="VPV93" s="704"/>
      <c r="VPW93" s="704"/>
      <c r="VPX93" s="704"/>
      <c r="VPY93" s="704"/>
      <c r="VPZ93" s="704"/>
      <c r="VQA93" s="704"/>
      <c r="VQB93" s="704"/>
      <c r="VQC93" s="704"/>
      <c r="VQD93" s="704"/>
      <c r="VQE93" s="704"/>
      <c r="VQF93" s="704"/>
      <c r="VQG93" s="704"/>
      <c r="VQH93" s="704"/>
      <c r="VQI93" s="704"/>
      <c r="VQJ93" s="704"/>
      <c r="VQK93" s="704"/>
      <c r="VQL93" s="704"/>
      <c r="VQM93" s="704"/>
      <c r="VQN93" s="704"/>
      <c r="VQO93" s="704"/>
      <c r="VQP93" s="704"/>
      <c r="VQQ93" s="704"/>
      <c r="VQR93" s="704"/>
      <c r="VQS93" s="704"/>
      <c r="VQT93" s="704"/>
      <c r="VQU93" s="704"/>
      <c r="VQV93" s="704"/>
      <c r="VQW93" s="704"/>
      <c r="VQX93" s="704"/>
      <c r="VQY93" s="704"/>
      <c r="VQZ93" s="704"/>
      <c r="VRA93" s="704"/>
      <c r="VRB93" s="704"/>
      <c r="VRC93" s="704"/>
      <c r="VRD93" s="704"/>
      <c r="VRE93" s="704"/>
      <c r="VRF93" s="704"/>
      <c r="VRG93" s="704"/>
      <c r="VRH93" s="704"/>
      <c r="VRI93" s="704"/>
      <c r="VRJ93" s="704"/>
      <c r="VRK93" s="704"/>
      <c r="VRL93" s="704"/>
      <c r="VRM93" s="704"/>
      <c r="VRN93" s="704"/>
      <c r="VRO93" s="704"/>
      <c r="VRP93" s="704"/>
      <c r="VRQ93" s="704"/>
      <c r="VRR93" s="704"/>
      <c r="VRS93" s="704"/>
      <c r="VRZ93" s="704"/>
      <c r="VSA93" s="704"/>
      <c r="VSB93" s="704"/>
      <c r="VSC93" s="704"/>
      <c r="VSD93" s="704"/>
      <c r="VSE93" s="704"/>
      <c r="VSF93" s="704"/>
      <c r="VSG93" s="704"/>
      <c r="VSH93" s="704"/>
      <c r="VSI93" s="704"/>
      <c r="VSJ93" s="704"/>
      <c r="VSK93" s="704"/>
      <c r="VSL93" s="704"/>
      <c r="VSM93" s="704"/>
      <c r="VSN93" s="704"/>
      <c r="VSO93" s="704"/>
      <c r="VSP93" s="704"/>
      <c r="VSQ93" s="704"/>
      <c r="VSR93" s="704"/>
      <c r="VSS93" s="704"/>
      <c r="VST93" s="704"/>
      <c r="VSU93" s="704"/>
      <c r="VSV93" s="704"/>
      <c r="VSW93" s="704"/>
      <c r="VSX93" s="704"/>
      <c r="VSY93" s="704"/>
      <c r="VSZ93" s="704"/>
      <c r="VTA93" s="704"/>
      <c r="VTB93" s="704"/>
      <c r="VTC93" s="704"/>
      <c r="VTD93" s="704"/>
      <c r="VTE93" s="704"/>
      <c r="VTF93" s="704"/>
      <c r="VTG93" s="704"/>
      <c r="VTH93" s="704"/>
      <c r="VTI93" s="704"/>
      <c r="VTJ93" s="704"/>
      <c r="VTK93" s="704"/>
      <c r="VTL93" s="704"/>
      <c r="VTM93" s="704"/>
      <c r="VTN93" s="704"/>
      <c r="VTO93" s="704"/>
      <c r="VTP93" s="704"/>
      <c r="VTQ93" s="704"/>
      <c r="VTR93" s="704"/>
      <c r="VTS93" s="704"/>
      <c r="VTT93" s="704"/>
      <c r="VTU93" s="704"/>
      <c r="VTV93" s="704"/>
      <c r="VTW93" s="704"/>
      <c r="VTX93" s="704"/>
      <c r="VTY93" s="704"/>
      <c r="VTZ93" s="704"/>
      <c r="VUA93" s="704"/>
      <c r="VUB93" s="704"/>
      <c r="VUC93" s="704"/>
      <c r="VUD93" s="704"/>
      <c r="VUE93" s="704"/>
      <c r="VUF93" s="704"/>
      <c r="VUG93" s="704"/>
      <c r="VUH93" s="704"/>
      <c r="VUI93" s="704"/>
      <c r="VUJ93" s="704"/>
      <c r="VUK93" s="704"/>
      <c r="VUL93" s="704"/>
      <c r="VUM93" s="704"/>
      <c r="VUN93" s="704"/>
      <c r="VUO93" s="704"/>
      <c r="VUP93" s="704"/>
      <c r="VUQ93" s="704"/>
      <c r="VUR93" s="704"/>
      <c r="VUS93" s="704"/>
      <c r="VUT93" s="704"/>
      <c r="VUU93" s="704"/>
      <c r="VUV93" s="704"/>
      <c r="VUW93" s="704"/>
      <c r="VUX93" s="704"/>
      <c r="VUY93" s="704"/>
      <c r="VUZ93" s="704"/>
      <c r="VVA93" s="704"/>
      <c r="VVB93" s="704"/>
      <c r="VVC93" s="704"/>
      <c r="VVD93" s="704"/>
      <c r="VVE93" s="704"/>
      <c r="VVF93" s="704"/>
      <c r="VVG93" s="704"/>
      <c r="VVH93" s="704"/>
      <c r="VVI93" s="704"/>
      <c r="VVJ93" s="704"/>
      <c r="VVK93" s="704"/>
      <c r="VVL93" s="704"/>
      <c r="VVM93" s="704"/>
      <c r="VVN93" s="704"/>
      <c r="VVO93" s="704"/>
      <c r="VVP93" s="704"/>
      <c r="VVQ93" s="704"/>
      <c r="VVR93" s="704"/>
      <c r="VVS93" s="704"/>
      <c r="VVT93" s="704"/>
      <c r="VVU93" s="704"/>
      <c r="VVV93" s="704"/>
      <c r="VVW93" s="704"/>
      <c r="VVX93" s="704"/>
      <c r="VVY93" s="704"/>
      <c r="VVZ93" s="704"/>
      <c r="VWA93" s="704"/>
      <c r="VWB93" s="704"/>
      <c r="VWC93" s="704"/>
      <c r="VWD93" s="704"/>
      <c r="VWE93" s="704"/>
      <c r="VWF93" s="704"/>
      <c r="VWG93" s="704"/>
      <c r="VWH93" s="704"/>
      <c r="VWI93" s="704"/>
      <c r="VWJ93" s="704"/>
      <c r="VWK93" s="704"/>
      <c r="VWL93" s="704"/>
      <c r="VWM93" s="704"/>
      <c r="VWN93" s="704"/>
      <c r="VWO93" s="704"/>
      <c r="VWP93" s="704"/>
      <c r="VWQ93" s="704"/>
      <c r="VWR93" s="704"/>
      <c r="VWS93" s="704"/>
      <c r="VWT93" s="704"/>
      <c r="VWU93" s="704"/>
      <c r="VWV93" s="704"/>
      <c r="VWW93" s="704"/>
      <c r="VWX93" s="704"/>
      <c r="VWY93" s="704"/>
      <c r="VWZ93" s="704"/>
      <c r="VXA93" s="704"/>
      <c r="VXB93" s="704"/>
      <c r="VXC93" s="704"/>
      <c r="VXD93" s="704"/>
      <c r="VXE93" s="704"/>
      <c r="VXF93" s="704"/>
      <c r="VXG93" s="704"/>
      <c r="VXH93" s="704"/>
      <c r="VXI93" s="704"/>
      <c r="VXJ93" s="704"/>
      <c r="VXK93" s="704"/>
      <c r="VXL93" s="704"/>
      <c r="VXM93" s="704"/>
      <c r="VXN93" s="704"/>
      <c r="VXO93" s="704"/>
      <c r="VXP93" s="704"/>
      <c r="VXQ93" s="704"/>
      <c r="VXR93" s="704"/>
      <c r="VXS93" s="704"/>
      <c r="VXT93" s="704"/>
      <c r="VXU93" s="704"/>
      <c r="VXV93" s="704"/>
      <c r="VXW93" s="704"/>
      <c r="VXX93" s="704"/>
      <c r="VXY93" s="704"/>
      <c r="VXZ93" s="704"/>
      <c r="VYA93" s="704"/>
      <c r="VYB93" s="704"/>
      <c r="VYC93" s="704"/>
      <c r="VYD93" s="704"/>
      <c r="VYE93" s="704"/>
      <c r="VYF93" s="704"/>
      <c r="VYG93" s="704"/>
      <c r="VYH93" s="704"/>
      <c r="VYI93" s="704"/>
      <c r="VYJ93" s="704"/>
      <c r="VYK93" s="704"/>
      <c r="VYL93" s="704"/>
      <c r="VYM93" s="704"/>
      <c r="VYN93" s="704"/>
      <c r="VYO93" s="704"/>
      <c r="VYP93" s="704"/>
      <c r="VYQ93" s="704"/>
      <c r="VYR93" s="704"/>
      <c r="VYS93" s="704"/>
      <c r="VYT93" s="704"/>
      <c r="VYU93" s="704"/>
      <c r="VYV93" s="704"/>
      <c r="VYW93" s="704"/>
      <c r="VYX93" s="704"/>
      <c r="VYY93" s="704"/>
      <c r="VYZ93" s="704"/>
      <c r="VZA93" s="704"/>
      <c r="VZB93" s="704"/>
      <c r="VZC93" s="704"/>
      <c r="VZD93" s="704"/>
      <c r="VZE93" s="704"/>
      <c r="VZF93" s="704"/>
      <c r="VZG93" s="704"/>
      <c r="VZH93" s="704"/>
      <c r="VZI93" s="704"/>
      <c r="VZJ93" s="704"/>
      <c r="VZK93" s="704"/>
      <c r="VZL93" s="704"/>
      <c r="VZM93" s="704"/>
      <c r="VZN93" s="704"/>
      <c r="VZO93" s="704"/>
      <c r="VZP93" s="704"/>
      <c r="VZQ93" s="704"/>
      <c r="VZR93" s="704"/>
      <c r="VZS93" s="704"/>
      <c r="VZT93" s="704"/>
      <c r="VZU93" s="704"/>
      <c r="VZV93" s="704"/>
      <c r="VZW93" s="704"/>
      <c r="VZX93" s="704"/>
      <c r="VZY93" s="704"/>
      <c r="VZZ93" s="704"/>
      <c r="WAA93" s="704"/>
      <c r="WAB93" s="704"/>
      <c r="WAC93" s="704"/>
      <c r="WAD93" s="704"/>
      <c r="WAE93" s="704"/>
      <c r="WAF93" s="704"/>
      <c r="WAG93" s="704"/>
      <c r="WAH93" s="704"/>
      <c r="WAI93" s="704"/>
      <c r="WAJ93" s="704"/>
      <c r="WAK93" s="704"/>
      <c r="WAL93" s="704"/>
      <c r="WAM93" s="704"/>
      <c r="WAN93" s="704"/>
      <c r="WAO93" s="704"/>
      <c r="WAP93" s="704"/>
      <c r="WAQ93" s="704"/>
      <c r="WAR93" s="704"/>
      <c r="WAS93" s="704"/>
      <c r="WAT93" s="704"/>
      <c r="WAU93" s="704"/>
      <c r="WAV93" s="704"/>
      <c r="WAW93" s="704"/>
      <c r="WAX93" s="704"/>
      <c r="WAY93" s="704"/>
      <c r="WAZ93" s="704"/>
      <c r="WBA93" s="704"/>
      <c r="WBB93" s="704"/>
      <c r="WBC93" s="704"/>
      <c r="WBD93" s="704"/>
      <c r="WBE93" s="704"/>
      <c r="WBF93" s="704"/>
      <c r="WBG93" s="704"/>
      <c r="WBH93" s="704"/>
      <c r="WBI93" s="704"/>
      <c r="WBJ93" s="704"/>
      <c r="WBK93" s="704"/>
      <c r="WBL93" s="704"/>
      <c r="WBM93" s="704"/>
      <c r="WBN93" s="704"/>
      <c r="WBO93" s="704"/>
      <c r="WBV93" s="704"/>
      <c r="WBW93" s="704"/>
      <c r="WBX93" s="704"/>
      <c r="WBY93" s="704"/>
      <c r="WBZ93" s="704"/>
      <c r="WCA93" s="704"/>
      <c r="WCB93" s="704"/>
      <c r="WCC93" s="704"/>
      <c r="WCD93" s="704"/>
      <c r="WCE93" s="704"/>
      <c r="WCF93" s="704"/>
      <c r="WCG93" s="704"/>
      <c r="WCH93" s="704"/>
      <c r="WCI93" s="704"/>
      <c r="WCJ93" s="704"/>
      <c r="WCK93" s="704"/>
      <c r="WCL93" s="704"/>
      <c r="WCM93" s="704"/>
      <c r="WCN93" s="704"/>
      <c r="WCO93" s="704"/>
      <c r="WCP93" s="704"/>
      <c r="WCQ93" s="704"/>
      <c r="WCR93" s="704"/>
      <c r="WCS93" s="704"/>
      <c r="WCT93" s="704"/>
      <c r="WCU93" s="704"/>
      <c r="WCV93" s="704"/>
      <c r="WCW93" s="704"/>
      <c r="WCX93" s="704"/>
      <c r="WCY93" s="704"/>
      <c r="WCZ93" s="704"/>
      <c r="WDA93" s="704"/>
      <c r="WDB93" s="704"/>
      <c r="WDC93" s="704"/>
      <c r="WDD93" s="704"/>
      <c r="WDE93" s="704"/>
      <c r="WDF93" s="704"/>
      <c r="WDG93" s="704"/>
      <c r="WDH93" s="704"/>
      <c r="WDI93" s="704"/>
      <c r="WDJ93" s="704"/>
      <c r="WDK93" s="704"/>
      <c r="WDL93" s="704"/>
      <c r="WDM93" s="704"/>
      <c r="WDN93" s="704"/>
      <c r="WDO93" s="704"/>
      <c r="WDP93" s="704"/>
      <c r="WDQ93" s="704"/>
      <c r="WDR93" s="704"/>
      <c r="WDS93" s="704"/>
      <c r="WDT93" s="704"/>
      <c r="WDU93" s="704"/>
      <c r="WDV93" s="704"/>
      <c r="WDW93" s="704"/>
      <c r="WDX93" s="704"/>
      <c r="WDY93" s="704"/>
      <c r="WDZ93" s="704"/>
      <c r="WEA93" s="704"/>
      <c r="WEB93" s="704"/>
      <c r="WEC93" s="704"/>
      <c r="WED93" s="704"/>
      <c r="WEE93" s="704"/>
      <c r="WEF93" s="704"/>
      <c r="WEG93" s="704"/>
      <c r="WEH93" s="704"/>
      <c r="WEI93" s="704"/>
      <c r="WEJ93" s="704"/>
      <c r="WEK93" s="704"/>
      <c r="WEL93" s="704"/>
      <c r="WEM93" s="704"/>
      <c r="WEN93" s="704"/>
      <c r="WEO93" s="704"/>
      <c r="WEP93" s="704"/>
      <c r="WEQ93" s="704"/>
      <c r="WER93" s="704"/>
      <c r="WES93" s="704"/>
      <c r="WET93" s="704"/>
      <c r="WEU93" s="704"/>
      <c r="WEV93" s="704"/>
      <c r="WEW93" s="704"/>
      <c r="WEX93" s="704"/>
      <c r="WEY93" s="704"/>
      <c r="WEZ93" s="704"/>
      <c r="WFA93" s="704"/>
      <c r="WFB93" s="704"/>
      <c r="WFC93" s="704"/>
      <c r="WFD93" s="704"/>
      <c r="WFE93" s="704"/>
      <c r="WFF93" s="704"/>
      <c r="WFG93" s="704"/>
      <c r="WFH93" s="704"/>
      <c r="WFI93" s="704"/>
      <c r="WFJ93" s="704"/>
      <c r="WFK93" s="704"/>
      <c r="WFL93" s="704"/>
      <c r="WFM93" s="704"/>
      <c r="WFN93" s="704"/>
      <c r="WFO93" s="704"/>
      <c r="WFP93" s="704"/>
      <c r="WFQ93" s="704"/>
      <c r="WFR93" s="704"/>
      <c r="WFS93" s="704"/>
      <c r="WFT93" s="704"/>
      <c r="WFU93" s="704"/>
      <c r="WFV93" s="704"/>
      <c r="WFW93" s="704"/>
      <c r="WFX93" s="704"/>
      <c r="WFY93" s="704"/>
      <c r="WFZ93" s="704"/>
      <c r="WGA93" s="704"/>
      <c r="WGB93" s="704"/>
      <c r="WGC93" s="704"/>
      <c r="WGD93" s="704"/>
      <c r="WGE93" s="704"/>
      <c r="WGF93" s="704"/>
      <c r="WGG93" s="704"/>
      <c r="WGH93" s="704"/>
      <c r="WGI93" s="704"/>
      <c r="WGJ93" s="704"/>
      <c r="WGK93" s="704"/>
      <c r="WGL93" s="704"/>
      <c r="WGM93" s="704"/>
      <c r="WGN93" s="704"/>
      <c r="WGO93" s="704"/>
      <c r="WGP93" s="704"/>
      <c r="WGQ93" s="704"/>
      <c r="WGR93" s="704"/>
      <c r="WGS93" s="704"/>
      <c r="WGT93" s="704"/>
      <c r="WGU93" s="704"/>
      <c r="WGV93" s="704"/>
      <c r="WGW93" s="704"/>
      <c r="WGX93" s="704"/>
      <c r="WGY93" s="704"/>
      <c r="WGZ93" s="704"/>
      <c r="WHA93" s="704"/>
      <c r="WHB93" s="704"/>
      <c r="WHC93" s="704"/>
      <c r="WHD93" s="704"/>
      <c r="WHE93" s="704"/>
      <c r="WHF93" s="704"/>
      <c r="WHG93" s="704"/>
      <c r="WHH93" s="704"/>
      <c r="WHI93" s="704"/>
      <c r="WHJ93" s="704"/>
      <c r="WHK93" s="704"/>
      <c r="WHL93" s="704"/>
      <c r="WHM93" s="704"/>
      <c r="WHN93" s="704"/>
      <c r="WHO93" s="704"/>
      <c r="WHP93" s="704"/>
      <c r="WHQ93" s="704"/>
      <c r="WHR93" s="704"/>
      <c r="WHS93" s="704"/>
      <c r="WHT93" s="704"/>
      <c r="WHU93" s="704"/>
      <c r="WHV93" s="704"/>
      <c r="WHW93" s="704"/>
      <c r="WHX93" s="704"/>
      <c r="WHY93" s="704"/>
      <c r="WHZ93" s="704"/>
      <c r="WIA93" s="704"/>
      <c r="WIB93" s="704"/>
      <c r="WIC93" s="704"/>
      <c r="WID93" s="704"/>
      <c r="WIE93" s="704"/>
      <c r="WIF93" s="704"/>
      <c r="WIG93" s="704"/>
      <c r="WIH93" s="704"/>
      <c r="WII93" s="704"/>
      <c r="WIJ93" s="704"/>
      <c r="WIK93" s="704"/>
      <c r="WIL93" s="704"/>
      <c r="WIM93" s="704"/>
      <c r="WIN93" s="704"/>
      <c r="WIO93" s="704"/>
      <c r="WIP93" s="704"/>
      <c r="WIQ93" s="704"/>
      <c r="WIR93" s="704"/>
      <c r="WIS93" s="704"/>
      <c r="WIT93" s="704"/>
      <c r="WIU93" s="704"/>
      <c r="WIV93" s="704"/>
      <c r="WIW93" s="704"/>
      <c r="WIX93" s="704"/>
      <c r="WIY93" s="704"/>
      <c r="WIZ93" s="704"/>
      <c r="WJA93" s="704"/>
      <c r="WJB93" s="704"/>
      <c r="WJC93" s="704"/>
      <c r="WJD93" s="704"/>
      <c r="WJE93" s="704"/>
      <c r="WJF93" s="704"/>
      <c r="WJG93" s="704"/>
      <c r="WJH93" s="704"/>
      <c r="WJI93" s="704"/>
      <c r="WJJ93" s="704"/>
      <c r="WJK93" s="704"/>
      <c r="WJL93" s="704"/>
      <c r="WJM93" s="704"/>
      <c r="WJN93" s="704"/>
      <c r="WJO93" s="704"/>
      <c r="WJP93" s="704"/>
      <c r="WJQ93" s="704"/>
      <c r="WJR93" s="704"/>
      <c r="WJS93" s="704"/>
      <c r="WJT93" s="704"/>
      <c r="WJU93" s="704"/>
      <c r="WJV93" s="704"/>
      <c r="WJW93" s="704"/>
      <c r="WJX93" s="704"/>
      <c r="WJY93" s="704"/>
      <c r="WJZ93" s="704"/>
      <c r="WKA93" s="704"/>
      <c r="WKB93" s="704"/>
      <c r="WKC93" s="704"/>
      <c r="WKD93" s="704"/>
      <c r="WKE93" s="704"/>
      <c r="WKF93" s="704"/>
      <c r="WKG93" s="704"/>
      <c r="WKH93" s="704"/>
      <c r="WKI93" s="704"/>
      <c r="WKJ93" s="704"/>
      <c r="WKK93" s="704"/>
      <c r="WKL93" s="704"/>
      <c r="WKM93" s="704"/>
      <c r="WKN93" s="704"/>
      <c r="WKO93" s="704"/>
      <c r="WKP93" s="704"/>
      <c r="WKQ93" s="704"/>
      <c r="WKR93" s="704"/>
      <c r="WKS93" s="704"/>
      <c r="WKT93" s="704"/>
      <c r="WKU93" s="704"/>
      <c r="WKV93" s="704"/>
      <c r="WKW93" s="704"/>
      <c r="WKX93" s="704"/>
      <c r="WKY93" s="704"/>
      <c r="WKZ93" s="704"/>
      <c r="WLA93" s="704"/>
      <c r="WLB93" s="704"/>
      <c r="WLC93" s="704"/>
      <c r="WLD93" s="704"/>
      <c r="WLE93" s="704"/>
      <c r="WLF93" s="704"/>
      <c r="WLG93" s="704"/>
      <c r="WLH93" s="704"/>
      <c r="WLI93" s="704"/>
      <c r="WLJ93" s="704"/>
      <c r="WLK93" s="704"/>
      <c r="WLR93" s="704"/>
      <c r="WLS93" s="704"/>
      <c r="WLT93" s="704"/>
      <c r="WLU93" s="704"/>
      <c r="WLV93" s="704"/>
      <c r="WLW93" s="704"/>
      <c r="WLX93" s="704"/>
      <c r="WLY93" s="704"/>
      <c r="WLZ93" s="704"/>
      <c r="WMA93" s="704"/>
      <c r="WMB93" s="704"/>
      <c r="WMC93" s="704"/>
      <c r="WMD93" s="704"/>
      <c r="WME93" s="704"/>
      <c r="WMF93" s="704"/>
      <c r="WMG93" s="704"/>
      <c r="WMH93" s="704"/>
      <c r="WMI93" s="704"/>
      <c r="WMJ93" s="704"/>
      <c r="WMK93" s="704"/>
      <c r="WML93" s="704"/>
      <c r="WMM93" s="704"/>
      <c r="WMN93" s="704"/>
      <c r="WMO93" s="704"/>
      <c r="WMP93" s="704"/>
      <c r="WMQ93" s="704"/>
      <c r="WMR93" s="704"/>
      <c r="WMS93" s="704"/>
      <c r="WMT93" s="704"/>
      <c r="WMU93" s="704"/>
      <c r="WMV93" s="704"/>
      <c r="WMW93" s="704"/>
      <c r="WMX93" s="704"/>
      <c r="WMY93" s="704"/>
      <c r="WMZ93" s="704"/>
      <c r="WNA93" s="704"/>
      <c r="WNB93" s="704"/>
      <c r="WNC93" s="704"/>
      <c r="WND93" s="704"/>
      <c r="WNE93" s="704"/>
      <c r="WNF93" s="704"/>
      <c r="WNG93" s="704"/>
      <c r="WNH93" s="704"/>
      <c r="WNI93" s="704"/>
      <c r="WNJ93" s="704"/>
      <c r="WNK93" s="704"/>
      <c r="WNL93" s="704"/>
      <c r="WNM93" s="704"/>
      <c r="WNN93" s="704"/>
      <c r="WNO93" s="704"/>
      <c r="WNP93" s="704"/>
      <c r="WNQ93" s="704"/>
      <c r="WNR93" s="704"/>
      <c r="WNS93" s="704"/>
      <c r="WNT93" s="704"/>
      <c r="WNU93" s="704"/>
      <c r="WNV93" s="704"/>
      <c r="WNW93" s="704"/>
      <c r="WNX93" s="704"/>
      <c r="WNY93" s="704"/>
      <c r="WNZ93" s="704"/>
      <c r="WOA93" s="704"/>
      <c r="WOB93" s="704"/>
      <c r="WOC93" s="704"/>
      <c r="WOD93" s="704"/>
      <c r="WOE93" s="704"/>
      <c r="WOF93" s="704"/>
      <c r="WOG93" s="704"/>
      <c r="WOH93" s="704"/>
      <c r="WOI93" s="704"/>
      <c r="WOJ93" s="704"/>
      <c r="WOK93" s="704"/>
      <c r="WOL93" s="704"/>
      <c r="WOM93" s="704"/>
      <c r="WON93" s="704"/>
      <c r="WOO93" s="704"/>
      <c r="WOP93" s="704"/>
      <c r="WOQ93" s="704"/>
      <c r="WOR93" s="704"/>
      <c r="WOS93" s="704"/>
      <c r="WOT93" s="704"/>
      <c r="WOU93" s="704"/>
      <c r="WOV93" s="704"/>
      <c r="WOW93" s="704"/>
      <c r="WOX93" s="704"/>
      <c r="WOY93" s="704"/>
      <c r="WOZ93" s="704"/>
      <c r="WPA93" s="704"/>
      <c r="WPB93" s="704"/>
      <c r="WPC93" s="704"/>
      <c r="WPD93" s="704"/>
      <c r="WPE93" s="704"/>
      <c r="WPF93" s="704"/>
      <c r="WPG93" s="704"/>
      <c r="WPH93" s="704"/>
      <c r="WPI93" s="704"/>
      <c r="WPJ93" s="704"/>
      <c r="WPK93" s="704"/>
      <c r="WPL93" s="704"/>
      <c r="WPM93" s="704"/>
      <c r="WPN93" s="704"/>
      <c r="WPO93" s="704"/>
      <c r="WPP93" s="704"/>
      <c r="WPQ93" s="704"/>
      <c r="WPR93" s="704"/>
      <c r="WPS93" s="704"/>
      <c r="WPT93" s="704"/>
      <c r="WPU93" s="704"/>
      <c r="WPV93" s="704"/>
      <c r="WPW93" s="704"/>
      <c r="WPX93" s="704"/>
      <c r="WPY93" s="704"/>
      <c r="WPZ93" s="704"/>
      <c r="WQA93" s="704"/>
      <c r="WQB93" s="704"/>
      <c r="WQC93" s="704"/>
      <c r="WQD93" s="704"/>
      <c r="WQE93" s="704"/>
      <c r="WQF93" s="704"/>
      <c r="WQG93" s="704"/>
      <c r="WQH93" s="704"/>
      <c r="WQI93" s="704"/>
      <c r="WQJ93" s="704"/>
      <c r="WQK93" s="704"/>
      <c r="WQL93" s="704"/>
      <c r="WQM93" s="704"/>
      <c r="WQN93" s="704"/>
      <c r="WQO93" s="704"/>
      <c r="WQP93" s="704"/>
      <c r="WQQ93" s="704"/>
      <c r="WQR93" s="704"/>
      <c r="WQS93" s="704"/>
      <c r="WQT93" s="704"/>
      <c r="WQU93" s="704"/>
      <c r="WQV93" s="704"/>
      <c r="WQW93" s="704"/>
      <c r="WQX93" s="704"/>
      <c r="WQY93" s="704"/>
      <c r="WQZ93" s="704"/>
      <c r="WRA93" s="704"/>
      <c r="WRB93" s="704"/>
      <c r="WRC93" s="704"/>
      <c r="WRD93" s="704"/>
      <c r="WRE93" s="704"/>
      <c r="WRF93" s="704"/>
      <c r="WRG93" s="704"/>
      <c r="WRH93" s="704"/>
      <c r="WRI93" s="704"/>
      <c r="WRJ93" s="704"/>
      <c r="WRK93" s="704"/>
      <c r="WRL93" s="704"/>
      <c r="WRM93" s="704"/>
      <c r="WRN93" s="704"/>
      <c r="WRO93" s="704"/>
      <c r="WRP93" s="704"/>
      <c r="WRQ93" s="704"/>
      <c r="WRR93" s="704"/>
      <c r="WRS93" s="704"/>
      <c r="WRT93" s="704"/>
      <c r="WRU93" s="704"/>
      <c r="WRV93" s="704"/>
      <c r="WRW93" s="704"/>
      <c r="WRX93" s="704"/>
      <c r="WRY93" s="704"/>
      <c r="WRZ93" s="704"/>
      <c r="WSA93" s="704"/>
      <c r="WSB93" s="704"/>
      <c r="WSC93" s="704"/>
      <c r="WSD93" s="704"/>
      <c r="WSE93" s="704"/>
      <c r="WSF93" s="704"/>
      <c r="WSG93" s="704"/>
      <c r="WSH93" s="704"/>
      <c r="WSI93" s="704"/>
      <c r="WSJ93" s="704"/>
      <c r="WSK93" s="704"/>
      <c r="WSL93" s="704"/>
      <c r="WSM93" s="704"/>
      <c r="WSN93" s="704"/>
      <c r="WSO93" s="704"/>
      <c r="WSP93" s="704"/>
      <c r="WSQ93" s="704"/>
      <c r="WSR93" s="704"/>
      <c r="WSS93" s="704"/>
      <c r="WST93" s="704"/>
      <c r="WSU93" s="704"/>
      <c r="WSV93" s="704"/>
      <c r="WSW93" s="704"/>
      <c r="WSX93" s="704"/>
      <c r="WSY93" s="704"/>
      <c r="WSZ93" s="704"/>
      <c r="WTA93" s="704"/>
      <c r="WTB93" s="704"/>
      <c r="WTC93" s="704"/>
      <c r="WTD93" s="704"/>
      <c r="WTE93" s="704"/>
      <c r="WTF93" s="704"/>
      <c r="WTG93" s="704"/>
      <c r="WTH93" s="704"/>
      <c r="WTI93" s="704"/>
      <c r="WTJ93" s="704"/>
      <c r="WTK93" s="704"/>
      <c r="WTL93" s="704"/>
      <c r="WTM93" s="704"/>
      <c r="WTN93" s="704"/>
      <c r="WTO93" s="704"/>
      <c r="WTP93" s="704"/>
      <c r="WTQ93" s="704"/>
      <c r="WTR93" s="704"/>
      <c r="WTS93" s="704"/>
      <c r="WTT93" s="704"/>
      <c r="WTU93" s="704"/>
      <c r="WTV93" s="704"/>
      <c r="WTW93" s="704"/>
      <c r="WTX93" s="704"/>
      <c r="WTY93" s="704"/>
      <c r="WTZ93" s="704"/>
      <c r="WUA93" s="704"/>
      <c r="WUB93" s="704"/>
      <c r="WUC93" s="704"/>
      <c r="WUD93" s="704"/>
      <c r="WUE93" s="704"/>
      <c r="WUF93" s="704"/>
      <c r="WUG93" s="704"/>
      <c r="WUH93" s="704"/>
      <c r="WUI93" s="704"/>
      <c r="WUJ93" s="704"/>
      <c r="WUK93" s="704"/>
      <c r="WUL93" s="704"/>
      <c r="WUM93" s="704"/>
      <c r="WUN93" s="704"/>
      <c r="WUO93" s="704"/>
      <c r="WUP93" s="704"/>
      <c r="WUQ93" s="704"/>
      <c r="WUR93" s="704"/>
      <c r="WUS93" s="704"/>
      <c r="WUT93" s="704"/>
      <c r="WUU93" s="704"/>
      <c r="WUV93" s="704"/>
      <c r="WUW93" s="704"/>
      <c r="WUX93" s="704"/>
      <c r="WUY93" s="704"/>
      <c r="WUZ93" s="704"/>
      <c r="WVA93" s="704"/>
      <c r="WVB93" s="704"/>
      <c r="WVC93" s="704"/>
      <c r="WVD93" s="704"/>
      <c r="WVE93" s="704"/>
      <c r="WVF93" s="704"/>
      <c r="WVG93" s="704"/>
      <c r="WVN93" s="704"/>
      <c r="WVO93" s="704"/>
      <c r="WVP93" s="704"/>
      <c r="WVQ93" s="704"/>
      <c r="WVR93" s="704"/>
      <c r="WVS93" s="704"/>
      <c r="WVT93" s="704"/>
      <c r="WVU93" s="704"/>
      <c r="WVV93" s="704"/>
      <c r="WVW93" s="704"/>
      <c r="WVX93" s="704"/>
      <c r="WVY93" s="704"/>
      <c r="WVZ93" s="704"/>
      <c r="WWA93" s="704"/>
      <c r="WWB93" s="704"/>
      <c r="WWC93" s="704"/>
      <c r="WWD93" s="704"/>
      <c r="WWE93" s="704"/>
      <c r="WWF93" s="704"/>
      <c r="WWG93" s="704"/>
      <c r="WWH93" s="704"/>
      <c r="WWI93" s="704"/>
      <c r="WWJ93" s="704"/>
      <c r="WWK93" s="704"/>
      <c r="WWL93" s="704"/>
      <c r="WWM93" s="704"/>
      <c r="WWN93" s="704"/>
      <c r="WWO93" s="704"/>
      <c r="WWP93" s="704"/>
      <c r="WWQ93" s="704"/>
      <c r="WWR93" s="704"/>
      <c r="WWS93" s="704"/>
      <c r="WWT93" s="704"/>
      <c r="WWU93" s="704"/>
      <c r="WWV93" s="704"/>
      <c r="WWW93" s="704"/>
      <c r="WWX93" s="704"/>
      <c r="WWY93" s="704"/>
      <c r="WWZ93" s="704"/>
      <c r="WXA93" s="704"/>
      <c r="WXB93" s="704"/>
      <c r="WXC93" s="704"/>
      <c r="WXD93" s="704"/>
      <c r="WXE93" s="704"/>
      <c r="WXF93" s="704"/>
      <c r="WXG93" s="704"/>
      <c r="WXH93" s="704"/>
      <c r="WXI93" s="704"/>
      <c r="WXJ93" s="704"/>
      <c r="WXK93" s="704"/>
      <c r="WXL93" s="704"/>
      <c r="WXM93" s="704"/>
      <c r="WXN93" s="704"/>
      <c r="WXO93" s="704"/>
      <c r="WXP93" s="704"/>
      <c r="WXQ93" s="704"/>
      <c r="WXR93" s="704"/>
      <c r="WXS93" s="704"/>
      <c r="WXT93" s="704"/>
      <c r="WXU93" s="704"/>
      <c r="WXV93" s="704"/>
      <c r="WXW93" s="704"/>
      <c r="WXX93" s="704"/>
      <c r="WXY93" s="704"/>
      <c r="WXZ93" s="704"/>
      <c r="WYA93" s="704"/>
      <c r="WYB93" s="704"/>
      <c r="WYC93" s="704"/>
      <c r="WYD93" s="704"/>
      <c r="WYE93" s="704"/>
      <c r="WYF93" s="704"/>
      <c r="WYG93" s="704"/>
      <c r="WYH93" s="704"/>
      <c r="WYI93" s="704"/>
      <c r="WYJ93" s="704"/>
      <c r="WYK93" s="704"/>
      <c r="WYL93" s="704"/>
      <c r="WYM93" s="704"/>
      <c r="WYN93" s="704"/>
      <c r="WYO93" s="704"/>
      <c r="WYP93" s="704"/>
      <c r="WYQ93" s="704"/>
      <c r="WYR93" s="704"/>
      <c r="WYS93" s="704"/>
      <c r="WYT93" s="704"/>
      <c r="WYU93" s="704"/>
      <c r="WYV93" s="704"/>
      <c r="WYW93" s="704"/>
      <c r="WYX93" s="704"/>
      <c r="WYY93" s="704"/>
      <c r="WYZ93" s="704"/>
      <c r="WZA93" s="704"/>
      <c r="WZB93" s="704"/>
      <c r="WZC93" s="704"/>
      <c r="WZD93" s="704"/>
      <c r="WZE93" s="704"/>
      <c r="WZF93" s="704"/>
      <c r="WZG93" s="704"/>
      <c r="WZH93" s="704"/>
      <c r="WZI93" s="704"/>
      <c r="WZJ93" s="704"/>
      <c r="WZK93" s="704"/>
      <c r="WZL93" s="704"/>
      <c r="WZM93" s="704"/>
      <c r="WZN93" s="704"/>
      <c r="WZO93" s="704"/>
      <c r="WZP93" s="704"/>
      <c r="WZQ93" s="704"/>
      <c r="WZR93" s="704"/>
      <c r="WZS93" s="704"/>
      <c r="WZT93" s="704"/>
      <c r="WZU93" s="704"/>
      <c r="WZV93" s="704"/>
      <c r="WZW93" s="704"/>
      <c r="WZX93" s="704"/>
      <c r="WZY93" s="704"/>
      <c r="WZZ93" s="704"/>
      <c r="XAA93" s="704"/>
      <c r="XAB93" s="704"/>
      <c r="XAC93" s="704"/>
      <c r="XAD93" s="704"/>
      <c r="XAE93" s="704"/>
      <c r="XAF93" s="704"/>
      <c r="XAG93" s="704"/>
      <c r="XAH93" s="704"/>
      <c r="XAI93" s="704"/>
      <c r="XAJ93" s="704"/>
      <c r="XAK93" s="704"/>
      <c r="XAL93" s="704"/>
      <c r="XAM93" s="704"/>
      <c r="XAN93" s="704"/>
      <c r="XAO93" s="704"/>
      <c r="XAP93" s="704"/>
      <c r="XAQ93" s="704"/>
      <c r="XAR93" s="704"/>
      <c r="XAS93" s="704"/>
      <c r="XAT93" s="704"/>
      <c r="XAU93" s="704"/>
      <c r="XAV93" s="704"/>
      <c r="XAW93" s="704"/>
      <c r="XAX93" s="704"/>
      <c r="XAY93" s="704"/>
      <c r="XAZ93" s="704"/>
      <c r="XBA93" s="704"/>
      <c r="XBB93" s="704"/>
      <c r="XBC93" s="704"/>
      <c r="XBD93" s="704"/>
      <c r="XBE93" s="704"/>
      <c r="XBF93" s="704"/>
      <c r="XBG93" s="704"/>
      <c r="XBH93" s="704"/>
      <c r="XBI93" s="704"/>
      <c r="XBJ93" s="704"/>
      <c r="XBK93" s="704"/>
      <c r="XBL93" s="704"/>
      <c r="XBM93" s="704"/>
      <c r="XBN93" s="704"/>
      <c r="XBO93" s="704"/>
      <c r="XBP93" s="704"/>
      <c r="XBQ93" s="704"/>
      <c r="XBR93" s="704"/>
      <c r="XBS93" s="704"/>
      <c r="XBT93" s="704"/>
      <c r="XBU93" s="704"/>
      <c r="XBV93" s="704"/>
      <c r="XBW93" s="704"/>
      <c r="XBX93" s="704"/>
      <c r="XBY93" s="704"/>
      <c r="XBZ93" s="704"/>
      <c r="XCA93" s="704"/>
      <c r="XCB93" s="704"/>
      <c r="XCC93" s="704"/>
      <c r="XCD93" s="704"/>
      <c r="XCE93" s="704"/>
      <c r="XCF93" s="704"/>
      <c r="XCG93" s="704"/>
      <c r="XCH93" s="704"/>
      <c r="XCI93" s="704"/>
      <c r="XCJ93" s="704"/>
      <c r="XCK93" s="704"/>
      <c r="XCL93" s="704"/>
      <c r="XCM93" s="704"/>
      <c r="XCN93" s="704"/>
      <c r="XCO93" s="704"/>
      <c r="XCP93" s="704"/>
      <c r="XCQ93" s="704"/>
      <c r="XCR93" s="704"/>
      <c r="XCS93" s="704"/>
      <c r="XCT93" s="704"/>
      <c r="XCU93" s="704"/>
      <c r="XCV93" s="704"/>
      <c r="XCW93" s="704"/>
      <c r="XCX93" s="704"/>
      <c r="XCY93" s="704"/>
      <c r="XCZ93" s="704"/>
      <c r="XDA93" s="704"/>
      <c r="XDB93" s="704"/>
      <c r="XDC93" s="704"/>
      <c r="XDD93" s="704"/>
      <c r="XDE93" s="704"/>
      <c r="XDF93" s="704"/>
      <c r="XDG93" s="704"/>
      <c r="XDH93" s="704"/>
      <c r="XDI93" s="704"/>
      <c r="XDJ93" s="704"/>
      <c r="XDK93" s="704"/>
      <c r="XDL93" s="704"/>
      <c r="XDM93" s="704"/>
      <c r="XDN93" s="704"/>
      <c r="XDO93" s="704"/>
      <c r="XDP93" s="704"/>
      <c r="XDQ93" s="704"/>
      <c r="XDR93" s="704"/>
      <c r="XDS93" s="704"/>
      <c r="XDT93" s="704"/>
      <c r="XDU93" s="704"/>
      <c r="XDV93" s="704"/>
      <c r="XDW93" s="704"/>
      <c r="XDX93" s="704"/>
      <c r="XDY93" s="704"/>
      <c r="XDZ93" s="704"/>
      <c r="XEA93" s="704"/>
      <c r="XEB93" s="704"/>
      <c r="XEC93" s="704"/>
      <c r="XED93" s="704"/>
      <c r="XEE93" s="704"/>
      <c r="XEF93" s="704"/>
      <c r="XEG93" s="704"/>
      <c r="XEH93" s="704"/>
      <c r="XEI93" s="704"/>
      <c r="XEJ93" s="704"/>
      <c r="XEK93" s="704"/>
      <c r="XEL93" s="704"/>
      <c r="XEM93" s="704"/>
      <c r="XEN93" s="704"/>
      <c r="XEO93" s="704"/>
      <c r="XEP93" s="704"/>
      <c r="XEQ93" s="704"/>
      <c r="XER93" s="704"/>
      <c r="XES93" s="704"/>
      <c r="XET93" s="704"/>
      <c r="XEU93" s="704"/>
      <c r="XEV93" s="704"/>
      <c r="XEW93" s="704"/>
      <c r="XEX93" s="704"/>
      <c r="XEY93" s="704"/>
      <c r="XEZ93" s="704"/>
      <c r="XFA93" s="704"/>
      <c r="XFB93" s="704"/>
      <c r="XFC93" s="704"/>
      <c r="XFD93" s="704"/>
    </row>
    <row r="94" spans="1:1023 1030:2047 2054:3071 3078:4095 4102:5119 5126:6143 6150:7167 7174:8191 8198:9215 9222:10239 10246:11263 11270:12287 12294:13311 13318:14335 14342:15359 15366:16384" s="344" customFormat="1" ht="11.25" customHeight="1" x14ac:dyDescent="0.25">
      <c r="A94" s="347" t="s">
        <v>378</v>
      </c>
      <c r="B94" s="348" t="s">
        <v>424</v>
      </c>
      <c r="C94" s="348" t="s">
        <v>185</v>
      </c>
      <c r="D94" s="348" t="s">
        <v>1348</v>
      </c>
      <c r="E94" s="348" t="s">
        <v>228</v>
      </c>
      <c r="F94" s="349" t="s">
        <v>464</v>
      </c>
      <c r="G94" s="498" t="s">
        <v>1311</v>
      </c>
      <c r="H94" s="674">
        <v>7</v>
      </c>
      <c r="I94" s="357">
        <v>50</v>
      </c>
      <c r="J94" s="675">
        <v>10</v>
      </c>
      <c r="K94" s="675">
        <v>10</v>
      </c>
      <c r="L94" s="677">
        <v>1</v>
      </c>
      <c r="M94" s="674"/>
      <c r="N94" s="357"/>
      <c r="O94" s="357">
        <v>3</v>
      </c>
      <c r="P94" s="357"/>
      <c r="Q94" s="357"/>
      <c r="R94" s="677" t="s">
        <v>1633</v>
      </c>
      <c r="S94" s="678">
        <f t="shared" si="11"/>
        <v>7</v>
      </c>
      <c r="T94" s="678">
        <f t="shared" si="11"/>
        <v>50</v>
      </c>
      <c r="U94" s="678">
        <f t="shared" si="16"/>
        <v>7</v>
      </c>
      <c r="V94" s="678">
        <f t="shared" si="17"/>
        <v>10</v>
      </c>
      <c r="W94" s="678">
        <f t="shared" si="18"/>
        <v>1</v>
      </c>
      <c r="X94" s="346" t="s">
        <v>1339</v>
      </c>
    </row>
    <row r="95" spans="1:1023 1030:2047 2054:3071 3078:4095 4102:5119 5126:6143 6150:7167 7174:8191 8198:9215 9222:10239 10246:11263 11270:12287 12294:13311 13318:14335 14342:15359 15366:16384" s="344" customFormat="1" ht="11.25" customHeight="1" x14ac:dyDescent="0.25">
      <c r="A95" s="347" t="s">
        <v>378</v>
      </c>
      <c r="B95" s="348" t="s">
        <v>1307</v>
      </c>
      <c r="C95" s="348" t="s">
        <v>185</v>
      </c>
      <c r="D95" s="348" t="s">
        <v>202</v>
      </c>
      <c r="E95" s="348" t="s">
        <v>201</v>
      </c>
      <c r="F95" s="349" t="s">
        <v>464</v>
      </c>
      <c r="G95" s="498"/>
      <c r="H95" s="679">
        <v>16</v>
      </c>
      <c r="I95" s="675">
        <v>16</v>
      </c>
      <c r="J95" s="696">
        <v>0</v>
      </c>
      <c r="K95" s="696"/>
      <c r="L95" s="676">
        <v>0</v>
      </c>
      <c r="M95" s="674"/>
      <c r="N95" s="357"/>
      <c r="O95" s="357"/>
      <c r="P95" s="357"/>
      <c r="Q95" s="357"/>
      <c r="R95" s="677"/>
      <c r="S95" s="678">
        <f t="shared" si="11"/>
        <v>16</v>
      </c>
      <c r="T95" s="678">
        <f t="shared" si="11"/>
        <v>16</v>
      </c>
      <c r="U95" s="678">
        <f t="shared" si="16"/>
        <v>0</v>
      </c>
      <c r="V95" s="678">
        <f t="shared" si="17"/>
        <v>0</v>
      </c>
      <c r="W95" s="678">
        <f t="shared" si="18"/>
        <v>0</v>
      </c>
      <c r="X95" s="346"/>
    </row>
    <row r="96" spans="1:1023 1030:2047 2054:3071 3078:4095 4102:5119 5126:6143 6150:7167 7174:8191 8198:9215 9222:10239 10246:11263 11270:12287 12294:13311 13318:14335 14342:15359 15366:16384" s="344" customFormat="1" ht="11.25" customHeight="1" x14ac:dyDescent="0.25">
      <c r="A96" s="347" t="s">
        <v>378</v>
      </c>
      <c r="B96" s="348" t="s">
        <v>424</v>
      </c>
      <c r="C96" s="348" t="s">
        <v>185</v>
      </c>
      <c r="D96" s="348" t="s">
        <v>209</v>
      </c>
      <c r="E96" s="348" t="s">
        <v>208</v>
      </c>
      <c r="F96" s="349" t="s">
        <v>464</v>
      </c>
      <c r="G96" s="498" t="s">
        <v>1311</v>
      </c>
      <c r="H96" s="679">
        <v>40</v>
      </c>
      <c r="I96" s="675">
        <v>40</v>
      </c>
      <c r="J96" s="675"/>
      <c r="K96" s="675">
        <v>0</v>
      </c>
      <c r="L96" s="676">
        <v>0</v>
      </c>
      <c r="M96" s="674"/>
      <c r="N96" s="357"/>
      <c r="O96" s="357"/>
      <c r="P96" s="357"/>
      <c r="Q96" s="357"/>
      <c r="R96" s="677"/>
      <c r="S96" s="678">
        <f t="shared" si="11"/>
        <v>40</v>
      </c>
      <c r="T96" s="678">
        <f t="shared" si="11"/>
        <v>40</v>
      </c>
      <c r="U96" s="678">
        <f t="shared" si="16"/>
        <v>0</v>
      </c>
      <c r="V96" s="678">
        <f t="shared" si="17"/>
        <v>0</v>
      </c>
      <c r="W96" s="678">
        <f t="shared" si="18"/>
        <v>0</v>
      </c>
      <c r="X96" s="346" t="s">
        <v>1339</v>
      </c>
    </row>
    <row r="97" spans="1:24" s="344" customFormat="1" ht="11.25" customHeight="1" x14ac:dyDescent="0.25">
      <c r="A97" s="347" t="s">
        <v>378</v>
      </c>
      <c r="B97" s="348" t="s">
        <v>1307</v>
      </c>
      <c r="C97" s="348" t="s">
        <v>185</v>
      </c>
      <c r="D97" s="348" t="s">
        <v>1347</v>
      </c>
      <c r="E97" s="348" t="s">
        <v>214</v>
      </c>
      <c r="F97" s="349" t="s">
        <v>466</v>
      </c>
      <c r="G97" s="498"/>
      <c r="H97" s="674">
        <v>81</v>
      </c>
      <c r="I97" s="357">
        <v>81</v>
      </c>
      <c r="J97" s="675">
        <v>0</v>
      </c>
      <c r="K97" s="675">
        <v>0</v>
      </c>
      <c r="L97" s="676">
        <v>0</v>
      </c>
      <c r="M97" s="674">
        <v>43</v>
      </c>
      <c r="N97" s="357">
        <v>43</v>
      </c>
      <c r="O97" s="357"/>
      <c r="P97" s="357"/>
      <c r="Q97" s="357"/>
      <c r="R97" s="677" t="s">
        <v>1834</v>
      </c>
      <c r="S97" s="678">
        <f t="shared" si="11"/>
        <v>38</v>
      </c>
      <c r="T97" s="678">
        <f t="shared" si="11"/>
        <v>38</v>
      </c>
      <c r="U97" s="678" t="s">
        <v>541</v>
      </c>
      <c r="V97" s="678">
        <f t="shared" si="17"/>
        <v>0</v>
      </c>
      <c r="W97" s="678">
        <f t="shared" si="18"/>
        <v>0</v>
      </c>
      <c r="X97" s="346" t="s">
        <v>1626</v>
      </c>
    </row>
    <row r="98" spans="1:24" s="344" customFormat="1" ht="11.25" customHeight="1" x14ac:dyDescent="0.25">
      <c r="A98" s="347" t="s">
        <v>378</v>
      </c>
      <c r="B98" s="348" t="s">
        <v>1307</v>
      </c>
      <c r="C98" s="348" t="s">
        <v>185</v>
      </c>
      <c r="D98" s="348" t="s">
        <v>1349</v>
      </c>
      <c r="E98" s="358" t="s">
        <v>218</v>
      </c>
      <c r="F98" s="363" t="s">
        <v>466</v>
      </c>
      <c r="G98" s="365"/>
      <c r="H98" s="674">
        <v>200</v>
      </c>
      <c r="I98" s="357">
        <v>200</v>
      </c>
      <c r="J98" s="696">
        <v>0</v>
      </c>
      <c r="K98" s="696"/>
      <c r="L98" s="676">
        <v>0</v>
      </c>
      <c r="M98" s="674">
        <v>20</v>
      </c>
      <c r="N98" s="357">
        <v>20</v>
      </c>
      <c r="O98" s="357"/>
      <c r="P98" s="357"/>
      <c r="Q98" s="357"/>
      <c r="R98" s="677" t="s">
        <v>1628</v>
      </c>
      <c r="S98" s="678">
        <f t="shared" si="11"/>
        <v>180</v>
      </c>
      <c r="T98" s="678">
        <f t="shared" si="11"/>
        <v>180</v>
      </c>
      <c r="U98" s="678">
        <f t="shared" si="16"/>
        <v>0</v>
      </c>
      <c r="V98" s="678">
        <f t="shared" si="17"/>
        <v>0</v>
      </c>
      <c r="W98" s="678">
        <f t="shared" si="18"/>
        <v>0</v>
      </c>
      <c r="X98" s="346"/>
    </row>
    <row r="99" spans="1:24" s="344" customFormat="1" ht="11.25" customHeight="1" x14ac:dyDescent="0.25">
      <c r="A99" s="347" t="s">
        <v>378</v>
      </c>
      <c r="B99" s="348" t="s">
        <v>424</v>
      </c>
      <c r="C99" s="348" t="s">
        <v>185</v>
      </c>
      <c r="D99" s="348" t="s">
        <v>1350</v>
      </c>
      <c r="E99" s="348" t="s">
        <v>224</v>
      </c>
      <c r="F99" s="349" t="s">
        <v>464</v>
      </c>
      <c r="G99" s="498"/>
      <c r="H99" s="679">
        <v>0</v>
      </c>
      <c r="I99" s="675">
        <v>0</v>
      </c>
      <c r="J99" s="675">
        <v>0</v>
      </c>
      <c r="K99" s="675">
        <v>0</v>
      </c>
      <c r="L99" s="676">
        <v>0</v>
      </c>
      <c r="M99" s="674"/>
      <c r="N99" s="357"/>
      <c r="O99" s="357"/>
      <c r="P99" s="357"/>
      <c r="Q99" s="357"/>
      <c r="R99" s="677"/>
      <c r="S99" s="678">
        <f t="shared" si="11"/>
        <v>0</v>
      </c>
      <c r="T99" s="678">
        <f t="shared" si="11"/>
        <v>0</v>
      </c>
      <c r="U99" s="678">
        <f t="shared" si="16"/>
        <v>0</v>
      </c>
      <c r="V99" s="678">
        <f t="shared" si="17"/>
        <v>0</v>
      </c>
      <c r="W99" s="678">
        <f t="shared" si="18"/>
        <v>0</v>
      </c>
      <c r="X99" s="346"/>
    </row>
    <row r="100" spans="1:24" s="344" customFormat="1" ht="11.25" customHeight="1" x14ac:dyDescent="0.25">
      <c r="A100" s="350" t="s">
        <v>3</v>
      </c>
      <c r="B100" s="351"/>
      <c r="C100" s="351"/>
      <c r="D100" s="352"/>
      <c r="E100" s="353"/>
      <c r="F100" s="354"/>
      <c r="G100" s="507"/>
      <c r="H100" s="355">
        <f t="shared" ref="H100:W100" si="19">SUM(H88:H99)</f>
        <v>718</v>
      </c>
      <c r="I100" s="355">
        <f t="shared" si="19"/>
        <v>761</v>
      </c>
      <c r="J100" s="355">
        <f t="shared" si="19"/>
        <v>561</v>
      </c>
      <c r="K100" s="355">
        <f t="shared" si="19"/>
        <v>50</v>
      </c>
      <c r="L100" s="355">
        <f t="shared" si="19"/>
        <v>2</v>
      </c>
      <c r="M100" s="355">
        <f t="shared" si="19"/>
        <v>206</v>
      </c>
      <c r="N100" s="355">
        <f t="shared" si="19"/>
        <v>142</v>
      </c>
      <c r="O100" s="355">
        <f t="shared" si="19"/>
        <v>364</v>
      </c>
      <c r="P100" s="355">
        <f t="shared" si="19"/>
        <v>0</v>
      </c>
      <c r="Q100" s="355">
        <f t="shared" si="19"/>
        <v>0</v>
      </c>
      <c r="R100" s="355">
        <f t="shared" si="19"/>
        <v>0</v>
      </c>
      <c r="S100" s="355">
        <f t="shared" si="19"/>
        <v>512</v>
      </c>
      <c r="T100" s="355">
        <f t="shared" si="19"/>
        <v>619</v>
      </c>
      <c r="U100" s="355">
        <f t="shared" si="19"/>
        <v>197</v>
      </c>
      <c r="V100" s="355">
        <f t="shared" si="19"/>
        <v>50</v>
      </c>
      <c r="W100" s="355">
        <f t="shared" si="19"/>
        <v>2</v>
      </c>
      <c r="X100" s="346"/>
    </row>
    <row r="101" spans="1:24" s="344" customFormat="1" ht="11.25" customHeight="1" x14ac:dyDescent="0.25">
      <c r="A101" s="347" t="s">
        <v>1321</v>
      </c>
      <c r="B101" s="348" t="s">
        <v>424</v>
      </c>
      <c r="C101" s="348" t="s">
        <v>230</v>
      </c>
      <c r="D101" s="348" t="s">
        <v>903</v>
      </c>
      <c r="E101" s="348" t="s">
        <v>904</v>
      </c>
      <c r="F101" s="349" t="s">
        <v>464</v>
      </c>
      <c r="G101" s="498"/>
      <c r="H101" s="679">
        <v>15</v>
      </c>
      <c r="I101" s="675">
        <v>15</v>
      </c>
      <c r="J101" s="675">
        <v>0</v>
      </c>
      <c r="K101" s="675">
        <v>0</v>
      </c>
      <c r="L101" s="676">
        <v>0</v>
      </c>
      <c r="M101" s="674"/>
      <c r="N101" s="357"/>
      <c r="O101" s="357"/>
      <c r="P101" s="357"/>
      <c r="Q101" s="357"/>
      <c r="R101" s="677"/>
      <c r="S101" s="678">
        <f t="shared" si="11"/>
        <v>15</v>
      </c>
      <c r="T101" s="678">
        <f t="shared" si="11"/>
        <v>15</v>
      </c>
      <c r="U101" s="678">
        <f t="shared" si="16"/>
        <v>0</v>
      </c>
      <c r="V101" s="678">
        <f t="shared" si="17"/>
        <v>0</v>
      </c>
      <c r="W101" s="678">
        <f t="shared" si="18"/>
        <v>0</v>
      </c>
      <c r="X101" s="346"/>
    </row>
    <row r="102" spans="1:24" s="344" customFormat="1" ht="11.25" customHeight="1" x14ac:dyDescent="0.25">
      <c r="A102" s="347" t="s">
        <v>1321</v>
      </c>
      <c r="B102" s="348" t="s">
        <v>1324</v>
      </c>
      <c r="C102" s="348" t="s">
        <v>230</v>
      </c>
      <c r="D102" s="348" t="s">
        <v>913</v>
      </c>
      <c r="E102" s="348" t="s">
        <v>914</v>
      </c>
      <c r="F102" s="349" t="s">
        <v>464</v>
      </c>
      <c r="G102" s="364"/>
      <c r="H102" s="679"/>
      <c r="I102" s="675"/>
      <c r="J102" s="675">
        <v>0</v>
      </c>
      <c r="K102" s="675">
        <v>10</v>
      </c>
      <c r="L102" s="676"/>
      <c r="M102" s="674"/>
      <c r="N102" s="357"/>
      <c r="O102" s="357"/>
      <c r="P102" s="357">
        <v>10</v>
      </c>
      <c r="Q102" s="357"/>
      <c r="R102" s="677" t="s">
        <v>1620</v>
      </c>
      <c r="S102" s="678">
        <f t="shared" si="11"/>
        <v>0</v>
      </c>
      <c r="T102" s="678">
        <f t="shared" si="11"/>
        <v>0</v>
      </c>
      <c r="U102" s="678">
        <f t="shared" si="16"/>
        <v>0</v>
      </c>
      <c r="V102" s="678">
        <f t="shared" si="17"/>
        <v>0</v>
      </c>
      <c r="W102" s="678">
        <f t="shared" si="18"/>
        <v>0</v>
      </c>
      <c r="X102" s="346"/>
    </row>
    <row r="103" spans="1:24" s="344" customFormat="1" ht="11.25" customHeight="1" x14ac:dyDescent="0.25">
      <c r="A103" s="348" t="s">
        <v>1321</v>
      </c>
      <c r="B103" s="348" t="s">
        <v>424</v>
      </c>
      <c r="C103" s="348" t="s">
        <v>230</v>
      </c>
      <c r="D103" s="348" t="s">
        <v>716</v>
      </c>
      <c r="E103" s="348" t="s">
        <v>1247</v>
      </c>
      <c r="F103" s="349" t="s">
        <v>464</v>
      </c>
      <c r="G103" s="364" t="s">
        <v>1473</v>
      </c>
      <c r="H103" s="679">
        <v>63</v>
      </c>
      <c r="I103" s="675">
        <v>63</v>
      </c>
      <c r="J103" s="675"/>
      <c r="K103" s="675"/>
      <c r="L103" s="676"/>
      <c r="M103" s="674"/>
      <c r="N103" s="357"/>
      <c r="O103" s="357"/>
      <c r="P103" s="357"/>
      <c r="Q103" s="357"/>
      <c r="R103" s="677"/>
      <c r="S103" s="678">
        <f t="shared" si="11"/>
        <v>63</v>
      </c>
      <c r="T103" s="678">
        <f t="shared" si="11"/>
        <v>63</v>
      </c>
      <c r="U103" s="678">
        <f t="shared" si="16"/>
        <v>0</v>
      </c>
      <c r="V103" s="678">
        <f t="shared" si="17"/>
        <v>0</v>
      </c>
      <c r="W103" s="678">
        <f t="shared" si="18"/>
        <v>0</v>
      </c>
      <c r="X103" s="346"/>
    </row>
    <row r="104" spans="1:24" s="344" customFormat="1" ht="11.25" customHeight="1" x14ac:dyDescent="0.25">
      <c r="A104" s="350" t="s">
        <v>3</v>
      </c>
      <c r="B104" s="351"/>
      <c r="C104" s="351"/>
      <c r="D104" s="352"/>
      <c r="E104" s="353"/>
      <c r="F104" s="354"/>
      <c r="G104" s="507"/>
      <c r="H104" s="355">
        <f>SUM(H101:H103)</f>
        <v>78</v>
      </c>
      <c r="I104" s="355">
        <f t="shared" ref="I104:W104" si="20">SUM(I101:I103)</f>
        <v>78</v>
      </c>
      <c r="J104" s="355">
        <f t="shared" si="20"/>
        <v>0</v>
      </c>
      <c r="K104" s="355">
        <f t="shared" si="20"/>
        <v>10</v>
      </c>
      <c r="L104" s="355">
        <f t="shared" si="20"/>
        <v>0</v>
      </c>
      <c r="M104" s="355">
        <f t="shared" si="20"/>
        <v>0</v>
      </c>
      <c r="N104" s="355">
        <f t="shared" si="20"/>
        <v>0</v>
      </c>
      <c r="O104" s="355">
        <f t="shared" si="20"/>
        <v>0</v>
      </c>
      <c r="P104" s="355">
        <f t="shared" si="20"/>
        <v>10</v>
      </c>
      <c r="Q104" s="355">
        <f t="shared" si="20"/>
        <v>0</v>
      </c>
      <c r="R104" s="355">
        <f t="shared" si="20"/>
        <v>0</v>
      </c>
      <c r="S104" s="355">
        <f t="shared" si="20"/>
        <v>78</v>
      </c>
      <c r="T104" s="355">
        <f t="shared" si="20"/>
        <v>78</v>
      </c>
      <c r="U104" s="355">
        <f t="shared" si="20"/>
        <v>0</v>
      </c>
      <c r="V104" s="355">
        <f t="shared" si="20"/>
        <v>0</v>
      </c>
      <c r="W104" s="355">
        <f t="shared" si="20"/>
        <v>0</v>
      </c>
      <c r="X104" s="346"/>
    </row>
    <row r="105" spans="1:24" s="344" customFormat="1" ht="11.25" customHeight="1" x14ac:dyDescent="0.25">
      <c r="A105" s="347" t="s">
        <v>378</v>
      </c>
      <c r="B105" s="348" t="s">
        <v>424</v>
      </c>
      <c r="C105" s="348" t="s">
        <v>237</v>
      </c>
      <c r="D105" s="348" t="s">
        <v>1351</v>
      </c>
      <c r="E105" s="348" t="s">
        <v>245</v>
      </c>
      <c r="F105" s="349" t="s">
        <v>464</v>
      </c>
      <c r="G105" s="498"/>
      <c r="H105" s="679"/>
      <c r="I105" s="675"/>
      <c r="J105" s="675">
        <v>15</v>
      </c>
      <c r="K105" s="675">
        <v>0</v>
      </c>
      <c r="L105" s="676">
        <v>1</v>
      </c>
      <c r="M105" s="674"/>
      <c r="N105" s="357"/>
      <c r="O105" s="357"/>
      <c r="P105" s="357"/>
      <c r="Q105" s="357"/>
      <c r="R105" s="677"/>
      <c r="S105" s="678">
        <f t="shared" si="11"/>
        <v>0</v>
      </c>
      <c r="T105" s="678">
        <f t="shared" si="11"/>
        <v>0</v>
      </c>
      <c r="U105" s="678">
        <f t="shared" si="16"/>
        <v>15</v>
      </c>
      <c r="V105" s="678">
        <f t="shared" si="17"/>
        <v>0</v>
      </c>
      <c r="W105" s="678">
        <f t="shared" si="18"/>
        <v>1</v>
      </c>
      <c r="X105" s="346"/>
    </row>
    <row r="106" spans="1:24" s="344" customFormat="1" ht="11.25" customHeight="1" x14ac:dyDescent="0.25">
      <c r="A106" s="347" t="s">
        <v>378</v>
      </c>
      <c r="B106" s="348" t="s">
        <v>424</v>
      </c>
      <c r="C106" s="348" t="s">
        <v>237</v>
      </c>
      <c r="D106" s="348" t="s">
        <v>1352</v>
      </c>
      <c r="E106" s="348" t="s">
        <v>251</v>
      </c>
      <c r="F106" s="349" t="s">
        <v>464</v>
      </c>
      <c r="G106" s="364" t="s">
        <v>1311</v>
      </c>
      <c r="H106" s="679">
        <v>40</v>
      </c>
      <c r="I106" s="675">
        <v>40</v>
      </c>
      <c r="J106" s="675"/>
      <c r="K106" s="675">
        <v>100</v>
      </c>
      <c r="L106" s="676">
        <v>0</v>
      </c>
      <c r="M106" s="674"/>
      <c r="N106" s="357"/>
      <c r="O106" s="357"/>
      <c r="P106" s="357">
        <v>100</v>
      </c>
      <c r="Q106" s="357"/>
      <c r="R106" s="677" t="s">
        <v>1633</v>
      </c>
      <c r="S106" s="678">
        <f t="shared" si="11"/>
        <v>40</v>
      </c>
      <c r="T106" s="678">
        <f t="shared" si="11"/>
        <v>40</v>
      </c>
      <c r="U106" s="678">
        <f t="shared" si="16"/>
        <v>0</v>
      </c>
      <c r="V106" s="678">
        <f t="shared" si="17"/>
        <v>0</v>
      </c>
      <c r="W106" s="678">
        <f t="shared" si="18"/>
        <v>0</v>
      </c>
      <c r="X106" s="346"/>
    </row>
    <row r="107" spans="1:24" s="344" customFormat="1" ht="11.25" customHeight="1" x14ac:dyDescent="0.25">
      <c r="A107" s="347" t="s">
        <v>378</v>
      </c>
      <c r="B107" s="348" t="s">
        <v>1313</v>
      </c>
      <c r="C107" s="348" t="s">
        <v>237</v>
      </c>
      <c r="D107" s="348" t="s">
        <v>1353</v>
      </c>
      <c r="E107" s="348" t="s">
        <v>253</v>
      </c>
      <c r="F107" s="349" t="s">
        <v>464</v>
      </c>
      <c r="G107" s="498"/>
      <c r="H107" s="679"/>
      <c r="I107" s="675">
        <v>0</v>
      </c>
      <c r="J107" s="675"/>
      <c r="K107" s="675">
        <v>0</v>
      </c>
      <c r="L107" s="676">
        <v>0</v>
      </c>
      <c r="M107" s="674"/>
      <c r="N107" s="357"/>
      <c r="O107" s="357"/>
      <c r="P107" s="357"/>
      <c r="Q107" s="357"/>
      <c r="R107" s="677"/>
      <c r="S107" s="678">
        <f t="shared" si="11"/>
        <v>0</v>
      </c>
      <c r="T107" s="678">
        <f t="shared" si="11"/>
        <v>0</v>
      </c>
      <c r="U107" s="678">
        <f t="shared" si="16"/>
        <v>0</v>
      </c>
      <c r="V107" s="678">
        <f t="shared" si="17"/>
        <v>0</v>
      </c>
      <c r="W107" s="678">
        <f t="shared" si="18"/>
        <v>0</v>
      </c>
      <c r="X107" s="346"/>
    </row>
    <row r="108" spans="1:24" s="344" customFormat="1" ht="11.25" customHeight="1" x14ac:dyDescent="0.25">
      <c r="A108" s="347" t="s">
        <v>378</v>
      </c>
      <c r="B108" s="348" t="s">
        <v>424</v>
      </c>
      <c r="C108" s="348" t="s">
        <v>237</v>
      </c>
      <c r="D108" s="348" t="s">
        <v>256</v>
      </c>
      <c r="E108" s="348" t="s">
        <v>255</v>
      </c>
      <c r="F108" s="349" t="s">
        <v>464</v>
      </c>
      <c r="G108" s="365"/>
      <c r="H108" s="679"/>
      <c r="I108" s="675"/>
      <c r="J108" s="675">
        <v>10</v>
      </c>
      <c r="K108" s="675"/>
      <c r="L108" s="676">
        <v>1</v>
      </c>
      <c r="M108" s="674"/>
      <c r="N108" s="357"/>
      <c r="O108" s="357"/>
      <c r="P108" s="357"/>
      <c r="Q108" s="357"/>
      <c r="R108" s="677"/>
      <c r="S108" s="678">
        <f t="shared" si="11"/>
        <v>0</v>
      </c>
      <c r="T108" s="678">
        <f t="shared" si="11"/>
        <v>0</v>
      </c>
      <c r="U108" s="678">
        <f t="shared" si="16"/>
        <v>10</v>
      </c>
      <c r="V108" s="678">
        <f t="shared" si="17"/>
        <v>0</v>
      </c>
      <c r="W108" s="678">
        <f t="shared" si="18"/>
        <v>1</v>
      </c>
      <c r="X108" s="346"/>
    </row>
    <row r="109" spans="1:24" s="344" customFormat="1" ht="11.25" customHeight="1" x14ac:dyDescent="0.25">
      <c r="A109" s="347" t="s">
        <v>378</v>
      </c>
      <c r="B109" s="348" t="s">
        <v>424</v>
      </c>
      <c r="C109" s="348" t="s">
        <v>237</v>
      </c>
      <c r="D109" s="348" t="s">
        <v>240</v>
      </c>
      <c r="E109" s="348" t="s">
        <v>239</v>
      </c>
      <c r="F109" s="349" t="s">
        <v>464</v>
      </c>
      <c r="G109" s="498"/>
      <c r="H109" s="679"/>
      <c r="I109" s="675">
        <v>0</v>
      </c>
      <c r="J109" s="675">
        <v>10</v>
      </c>
      <c r="K109" s="675">
        <v>10</v>
      </c>
      <c r="L109" s="676">
        <v>0</v>
      </c>
      <c r="M109" s="674"/>
      <c r="N109" s="357"/>
      <c r="O109" s="357"/>
      <c r="P109" s="357"/>
      <c r="Q109" s="357"/>
      <c r="R109" s="677"/>
      <c r="S109" s="678">
        <f t="shared" si="11"/>
        <v>0</v>
      </c>
      <c r="T109" s="678">
        <f t="shared" si="11"/>
        <v>0</v>
      </c>
      <c r="U109" s="678">
        <f t="shared" si="16"/>
        <v>10</v>
      </c>
      <c r="V109" s="678">
        <f t="shared" si="17"/>
        <v>10</v>
      </c>
      <c r="W109" s="678">
        <f t="shared" si="18"/>
        <v>0</v>
      </c>
      <c r="X109" s="346"/>
    </row>
    <row r="110" spans="1:24" s="344" customFormat="1" ht="11.25" customHeight="1" x14ac:dyDescent="0.25">
      <c r="A110" s="347" t="s">
        <v>378</v>
      </c>
      <c r="B110" s="348" t="s">
        <v>424</v>
      </c>
      <c r="C110" s="348" t="s">
        <v>237</v>
      </c>
      <c r="D110" s="348" t="s">
        <v>1354</v>
      </c>
      <c r="E110" s="348" t="s">
        <v>283</v>
      </c>
      <c r="F110" s="349" t="s">
        <v>464</v>
      </c>
      <c r="G110" s="365" t="s">
        <v>1311</v>
      </c>
      <c r="H110" s="679"/>
      <c r="I110" s="675"/>
      <c r="J110" s="675"/>
      <c r="K110" s="675">
        <v>60</v>
      </c>
      <c r="L110" s="676">
        <v>0</v>
      </c>
      <c r="M110" s="674"/>
      <c r="N110" s="357"/>
      <c r="O110" s="357"/>
      <c r="P110" s="357">
        <v>60</v>
      </c>
      <c r="Q110" s="357"/>
      <c r="R110" s="677" t="s">
        <v>1633</v>
      </c>
      <c r="S110" s="678">
        <f t="shared" si="11"/>
        <v>0</v>
      </c>
      <c r="T110" s="678">
        <f t="shared" si="11"/>
        <v>0</v>
      </c>
      <c r="U110" s="678">
        <f t="shared" si="16"/>
        <v>0</v>
      </c>
      <c r="V110" s="678">
        <f t="shared" si="17"/>
        <v>0</v>
      </c>
      <c r="W110" s="678">
        <f t="shared" si="18"/>
        <v>0</v>
      </c>
      <c r="X110" s="346"/>
    </row>
    <row r="111" spans="1:24" s="344" customFormat="1" ht="11.25" customHeight="1" x14ac:dyDescent="0.25">
      <c r="A111" s="347" t="s">
        <v>378</v>
      </c>
      <c r="B111" s="348" t="s">
        <v>424</v>
      </c>
      <c r="C111" s="348" t="s">
        <v>237</v>
      </c>
      <c r="D111" s="348" t="s">
        <v>258</v>
      </c>
      <c r="E111" s="348" t="s">
        <v>257</v>
      </c>
      <c r="F111" s="349" t="s">
        <v>464</v>
      </c>
      <c r="G111" s="498" t="s">
        <v>1634</v>
      </c>
      <c r="H111" s="679">
        <v>7</v>
      </c>
      <c r="I111" s="675">
        <v>7</v>
      </c>
      <c r="J111" s="675">
        <v>0</v>
      </c>
      <c r="K111" s="675">
        <v>20</v>
      </c>
      <c r="L111" s="676">
        <v>0</v>
      </c>
      <c r="M111" s="674"/>
      <c r="N111" s="357"/>
      <c r="O111" s="357"/>
      <c r="P111" s="357"/>
      <c r="Q111" s="357"/>
      <c r="R111" s="677"/>
      <c r="S111" s="678">
        <f t="shared" si="11"/>
        <v>7</v>
      </c>
      <c r="T111" s="678">
        <f t="shared" si="11"/>
        <v>7</v>
      </c>
      <c r="U111" s="678">
        <f t="shared" si="16"/>
        <v>0</v>
      </c>
      <c r="V111" s="678">
        <f t="shared" si="17"/>
        <v>20</v>
      </c>
      <c r="W111" s="678">
        <f t="shared" si="18"/>
        <v>0</v>
      </c>
      <c r="X111" s="346"/>
    </row>
    <row r="112" spans="1:24" s="344" customFormat="1" ht="11.25" customHeight="1" x14ac:dyDescent="0.25">
      <c r="A112" s="347" t="s">
        <v>378</v>
      </c>
      <c r="B112" s="348" t="s">
        <v>424</v>
      </c>
      <c r="C112" s="348" t="s">
        <v>237</v>
      </c>
      <c r="D112" s="348" t="s">
        <v>260</v>
      </c>
      <c r="E112" s="348" t="s">
        <v>259</v>
      </c>
      <c r="F112" s="349" t="s">
        <v>464</v>
      </c>
      <c r="G112" s="364" t="s">
        <v>1311</v>
      </c>
      <c r="H112" s="679">
        <v>5</v>
      </c>
      <c r="I112" s="675">
        <v>5</v>
      </c>
      <c r="J112" s="675">
        <v>40</v>
      </c>
      <c r="K112" s="675">
        <v>0</v>
      </c>
      <c r="L112" s="676">
        <v>0</v>
      </c>
      <c r="M112" s="674"/>
      <c r="N112" s="357"/>
      <c r="O112" s="357"/>
      <c r="P112" s="357"/>
      <c r="Q112" s="357"/>
      <c r="R112" s="677"/>
      <c r="S112" s="678">
        <f t="shared" si="11"/>
        <v>5</v>
      </c>
      <c r="T112" s="678">
        <f t="shared" si="11"/>
        <v>5</v>
      </c>
      <c r="U112" s="678">
        <f t="shared" si="16"/>
        <v>40</v>
      </c>
      <c r="V112" s="678">
        <f t="shared" si="17"/>
        <v>0</v>
      </c>
      <c r="W112" s="678">
        <f t="shared" si="18"/>
        <v>0</v>
      </c>
      <c r="X112" s="346"/>
    </row>
    <row r="113" spans="1:24" s="344" customFormat="1" ht="11.25" customHeight="1" x14ac:dyDescent="0.25">
      <c r="A113" s="347" t="s">
        <v>378</v>
      </c>
      <c r="B113" s="348" t="s">
        <v>462</v>
      </c>
      <c r="C113" s="348" t="s">
        <v>237</v>
      </c>
      <c r="D113" s="348" t="s">
        <v>262</v>
      </c>
      <c r="E113" s="348" t="s">
        <v>261</v>
      </c>
      <c r="F113" s="349" t="s">
        <v>464</v>
      </c>
      <c r="G113" s="498"/>
      <c r="H113" s="679">
        <v>0</v>
      </c>
      <c r="I113" s="675"/>
      <c r="J113" s="675"/>
      <c r="K113" s="675">
        <v>20</v>
      </c>
      <c r="L113" s="676">
        <v>0</v>
      </c>
      <c r="M113" s="674"/>
      <c r="N113" s="357"/>
      <c r="O113" s="357"/>
      <c r="P113" s="357">
        <v>20</v>
      </c>
      <c r="Q113" s="357"/>
      <c r="R113" s="677" t="s">
        <v>1632</v>
      </c>
      <c r="S113" s="678">
        <f t="shared" si="11"/>
        <v>0</v>
      </c>
      <c r="T113" s="678">
        <f t="shared" si="11"/>
        <v>0</v>
      </c>
      <c r="U113" s="678">
        <f t="shared" si="16"/>
        <v>0</v>
      </c>
      <c r="V113" s="678">
        <f t="shared" si="17"/>
        <v>0</v>
      </c>
      <c r="W113" s="678">
        <f t="shared" si="18"/>
        <v>0</v>
      </c>
      <c r="X113" s="346"/>
    </row>
    <row r="114" spans="1:24" s="344" customFormat="1" ht="11.25" customHeight="1" x14ac:dyDescent="0.25">
      <c r="A114" s="347" t="s">
        <v>378</v>
      </c>
      <c r="B114" s="348" t="s">
        <v>462</v>
      </c>
      <c r="C114" s="348" t="s">
        <v>237</v>
      </c>
      <c r="D114" s="348" t="s">
        <v>264</v>
      </c>
      <c r="E114" s="348" t="s">
        <v>263</v>
      </c>
      <c r="F114" s="349" t="s">
        <v>464</v>
      </c>
      <c r="G114" s="364"/>
      <c r="H114" s="679"/>
      <c r="I114" s="675"/>
      <c r="J114" s="675">
        <v>0</v>
      </c>
      <c r="K114" s="675">
        <v>0</v>
      </c>
      <c r="L114" s="676">
        <v>0</v>
      </c>
      <c r="M114" s="674"/>
      <c r="N114" s="357"/>
      <c r="O114" s="357"/>
      <c r="P114" s="357"/>
      <c r="Q114" s="357"/>
      <c r="R114" s="677"/>
      <c r="S114" s="678">
        <f t="shared" si="11"/>
        <v>0</v>
      </c>
      <c r="T114" s="678">
        <f t="shared" si="11"/>
        <v>0</v>
      </c>
      <c r="U114" s="678">
        <f t="shared" si="16"/>
        <v>0</v>
      </c>
      <c r="V114" s="678">
        <f t="shared" si="17"/>
        <v>0</v>
      </c>
      <c r="W114" s="678">
        <f t="shared" si="18"/>
        <v>0</v>
      </c>
      <c r="X114" s="346"/>
    </row>
    <row r="115" spans="1:24" s="344" customFormat="1" ht="11.25" customHeight="1" x14ac:dyDescent="0.25">
      <c r="A115" s="347" t="s">
        <v>378</v>
      </c>
      <c r="B115" s="348" t="s">
        <v>1313</v>
      </c>
      <c r="C115" s="348" t="s">
        <v>237</v>
      </c>
      <c r="D115" s="348" t="s">
        <v>1355</v>
      </c>
      <c r="E115" s="348" t="s">
        <v>269</v>
      </c>
      <c r="F115" s="349" t="s">
        <v>464</v>
      </c>
      <c r="G115" s="498" t="s">
        <v>1311</v>
      </c>
      <c r="H115" s="679">
        <v>0</v>
      </c>
      <c r="I115" s="675">
        <v>0</v>
      </c>
      <c r="J115" s="675">
        <v>0</v>
      </c>
      <c r="K115" s="675"/>
      <c r="L115" s="676">
        <v>0</v>
      </c>
      <c r="M115" s="674"/>
      <c r="N115" s="357"/>
      <c r="O115" s="357"/>
      <c r="P115" s="357"/>
      <c r="Q115" s="357"/>
      <c r="R115" s="677"/>
      <c r="S115" s="678">
        <f t="shared" si="11"/>
        <v>0</v>
      </c>
      <c r="T115" s="678">
        <f t="shared" si="11"/>
        <v>0</v>
      </c>
      <c r="U115" s="678">
        <f t="shared" si="16"/>
        <v>0</v>
      </c>
      <c r="V115" s="678">
        <f t="shared" si="17"/>
        <v>0</v>
      </c>
      <c r="W115" s="678">
        <f t="shared" si="18"/>
        <v>0</v>
      </c>
      <c r="X115" s="346"/>
    </row>
    <row r="116" spans="1:24" s="344" customFormat="1" ht="11.25" customHeight="1" x14ac:dyDescent="0.25">
      <c r="A116" s="347" t="s">
        <v>378</v>
      </c>
      <c r="B116" s="348" t="s">
        <v>424</v>
      </c>
      <c r="C116" s="348" t="s">
        <v>237</v>
      </c>
      <c r="D116" s="348" t="s">
        <v>1356</v>
      </c>
      <c r="E116" s="348" t="s">
        <v>267</v>
      </c>
      <c r="F116" s="349" t="s">
        <v>464</v>
      </c>
      <c r="G116" s="364"/>
      <c r="H116" s="679"/>
      <c r="I116" s="675"/>
      <c r="J116" s="675">
        <v>0</v>
      </c>
      <c r="K116" s="675">
        <v>0</v>
      </c>
      <c r="L116" s="676">
        <v>0</v>
      </c>
      <c r="M116" s="674"/>
      <c r="N116" s="357"/>
      <c r="O116" s="357"/>
      <c r="P116" s="357"/>
      <c r="Q116" s="357"/>
      <c r="R116" s="677"/>
      <c r="S116" s="678">
        <f t="shared" si="11"/>
        <v>0</v>
      </c>
      <c r="T116" s="678">
        <f t="shared" si="11"/>
        <v>0</v>
      </c>
      <c r="U116" s="678">
        <f t="shared" si="16"/>
        <v>0</v>
      </c>
      <c r="V116" s="678">
        <f t="shared" si="17"/>
        <v>0</v>
      </c>
      <c r="W116" s="678">
        <f t="shared" si="18"/>
        <v>0</v>
      </c>
      <c r="X116" s="346"/>
    </row>
    <row r="117" spans="1:24" s="344" customFormat="1" ht="11.25" customHeight="1" x14ac:dyDescent="0.25">
      <c r="A117" s="347" t="s">
        <v>378</v>
      </c>
      <c r="B117" s="348" t="s">
        <v>1313</v>
      </c>
      <c r="C117" s="348" t="s">
        <v>237</v>
      </c>
      <c r="D117" s="348" t="s">
        <v>1357</v>
      </c>
      <c r="E117" s="348" t="s">
        <v>271</v>
      </c>
      <c r="F117" s="349" t="s">
        <v>464</v>
      </c>
      <c r="G117" s="498" t="s">
        <v>1311</v>
      </c>
      <c r="H117" s="679">
        <v>40</v>
      </c>
      <c r="I117" s="675">
        <v>40</v>
      </c>
      <c r="J117" s="675">
        <v>0</v>
      </c>
      <c r="K117" s="675">
        <v>0</v>
      </c>
      <c r="L117" s="676">
        <v>1</v>
      </c>
      <c r="M117" s="674"/>
      <c r="N117" s="357"/>
      <c r="O117" s="357"/>
      <c r="P117" s="357"/>
      <c r="Q117" s="357"/>
      <c r="R117" s="677"/>
      <c r="S117" s="678">
        <f t="shared" si="11"/>
        <v>40</v>
      </c>
      <c r="T117" s="678">
        <f t="shared" si="11"/>
        <v>40</v>
      </c>
      <c r="U117" s="678">
        <f t="shared" si="16"/>
        <v>0</v>
      </c>
      <c r="V117" s="678">
        <f t="shared" si="17"/>
        <v>0</v>
      </c>
      <c r="W117" s="678">
        <f t="shared" si="18"/>
        <v>1</v>
      </c>
      <c r="X117" s="346"/>
    </row>
    <row r="118" spans="1:24" s="344" customFormat="1" ht="11.25" customHeight="1" x14ac:dyDescent="0.25">
      <c r="A118" s="347" t="s">
        <v>378</v>
      </c>
      <c r="B118" s="348" t="s">
        <v>424</v>
      </c>
      <c r="C118" s="348" t="s">
        <v>237</v>
      </c>
      <c r="D118" s="348" t="s">
        <v>276</v>
      </c>
      <c r="E118" s="348" t="s">
        <v>275</v>
      </c>
      <c r="F118" s="349" t="s">
        <v>464</v>
      </c>
      <c r="G118" s="365"/>
      <c r="H118" s="679"/>
      <c r="I118" s="675">
        <v>0</v>
      </c>
      <c r="J118" s="675"/>
      <c r="K118" s="675">
        <v>30</v>
      </c>
      <c r="L118" s="676">
        <v>0</v>
      </c>
      <c r="M118" s="674"/>
      <c r="N118" s="357"/>
      <c r="O118" s="357"/>
      <c r="P118" s="357">
        <v>30</v>
      </c>
      <c r="Q118" s="357"/>
      <c r="R118" s="677" t="s">
        <v>1633</v>
      </c>
      <c r="S118" s="678">
        <f t="shared" si="11"/>
        <v>0</v>
      </c>
      <c r="T118" s="678">
        <f t="shared" si="11"/>
        <v>0</v>
      </c>
      <c r="U118" s="678">
        <f t="shared" si="16"/>
        <v>0</v>
      </c>
      <c r="V118" s="678">
        <f t="shared" si="17"/>
        <v>0</v>
      </c>
      <c r="W118" s="678">
        <f t="shared" si="18"/>
        <v>0</v>
      </c>
      <c r="X118" s="346"/>
    </row>
    <row r="119" spans="1:24" s="344" customFormat="1" ht="11.25" customHeight="1" x14ac:dyDescent="0.25">
      <c r="A119" s="347" t="s">
        <v>378</v>
      </c>
      <c r="B119" s="348" t="s">
        <v>424</v>
      </c>
      <c r="C119" s="348" t="s">
        <v>237</v>
      </c>
      <c r="D119" s="348" t="s">
        <v>280</v>
      </c>
      <c r="E119" s="348" t="s">
        <v>279</v>
      </c>
      <c r="F119" s="349" t="s">
        <v>464</v>
      </c>
      <c r="G119" s="498"/>
      <c r="H119" s="679"/>
      <c r="I119" s="675"/>
      <c r="J119" s="675"/>
      <c r="K119" s="675">
        <v>20</v>
      </c>
      <c r="L119" s="676">
        <v>0</v>
      </c>
      <c r="M119" s="674"/>
      <c r="N119" s="357"/>
      <c r="O119" s="357"/>
      <c r="P119" s="357">
        <v>10</v>
      </c>
      <c r="Q119" s="357"/>
      <c r="R119" s="677" t="s">
        <v>1633</v>
      </c>
      <c r="S119" s="678">
        <f t="shared" si="11"/>
        <v>0</v>
      </c>
      <c r="T119" s="678">
        <f t="shared" si="11"/>
        <v>0</v>
      </c>
      <c r="U119" s="678">
        <f t="shared" si="16"/>
        <v>0</v>
      </c>
      <c r="V119" s="678">
        <f t="shared" si="17"/>
        <v>10</v>
      </c>
      <c r="W119" s="678">
        <f t="shared" si="18"/>
        <v>0</v>
      </c>
      <c r="X119" s="346"/>
    </row>
    <row r="120" spans="1:24" s="344" customFormat="1" ht="11.25" customHeight="1" x14ac:dyDescent="0.25">
      <c r="A120" s="347" t="s">
        <v>378</v>
      </c>
      <c r="B120" s="348" t="s">
        <v>1336</v>
      </c>
      <c r="C120" s="348" t="s">
        <v>237</v>
      </c>
      <c r="D120" s="348" t="s">
        <v>1529</v>
      </c>
      <c r="E120" s="348" t="s">
        <v>1565</v>
      </c>
      <c r="F120" s="349" t="s">
        <v>464</v>
      </c>
      <c r="G120" s="498" t="s">
        <v>1473</v>
      </c>
      <c r="H120" s="679">
        <v>19</v>
      </c>
      <c r="I120" s="675">
        <v>19</v>
      </c>
      <c r="J120" s="675"/>
      <c r="K120" s="675"/>
      <c r="L120" s="676"/>
      <c r="M120" s="674"/>
      <c r="N120" s="357"/>
      <c r="O120" s="357"/>
      <c r="P120" s="357"/>
      <c r="Q120" s="357"/>
      <c r="R120" s="677"/>
      <c r="S120" s="678">
        <f t="shared" si="11"/>
        <v>19</v>
      </c>
      <c r="T120" s="678">
        <f t="shared" si="11"/>
        <v>19</v>
      </c>
      <c r="U120" s="678">
        <f t="shared" si="16"/>
        <v>0</v>
      </c>
      <c r="V120" s="678">
        <f t="shared" si="17"/>
        <v>0</v>
      </c>
      <c r="W120" s="678">
        <f t="shared" si="18"/>
        <v>0</v>
      </c>
      <c r="X120" s="346"/>
    </row>
    <row r="121" spans="1:24" s="344" customFormat="1" ht="11.25" customHeight="1" x14ac:dyDescent="0.25">
      <c r="A121" s="347" t="s">
        <v>378</v>
      </c>
      <c r="B121" s="348" t="s">
        <v>424</v>
      </c>
      <c r="C121" s="348" t="s">
        <v>237</v>
      </c>
      <c r="D121" s="348" t="s">
        <v>238</v>
      </c>
      <c r="E121" s="348" t="s">
        <v>236</v>
      </c>
      <c r="F121" s="349" t="s">
        <v>464</v>
      </c>
      <c r="G121" s="365"/>
      <c r="H121" s="679">
        <v>0</v>
      </c>
      <c r="I121" s="675">
        <v>0</v>
      </c>
      <c r="J121" s="675">
        <v>0</v>
      </c>
      <c r="K121" s="675">
        <v>20</v>
      </c>
      <c r="L121" s="676">
        <v>0</v>
      </c>
      <c r="M121" s="674"/>
      <c r="N121" s="357"/>
      <c r="O121" s="357"/>
      <c r="P121" s="357"/>
      <c r="Q121" s="357"/>
      <c r="R121" s="677"/>
      <c r="S121" s="678">
        <f t="shared" si="11"/>
        <v>0</v>
      </c>
      <c r="T121" s="678">
        <f t="shared" si="11"/>
        <v>0</v>
      </c>
      <c r="U121" s="678">
        <f t="shared" si="16"/>
        <v>0</v>
      </c>
      <c r="V121" s="678">
        <f t="shared" si="17"/>
        <v>20</v>
      </c>
      <c r="W121" s="678">
        <f t="shared" si="18"/>
        <v>0</v>
      </c>
      <c r="X121" s="346"/>
    </row>
    <row r="122" spans="1:24" s="344" customFormat="1" ht="11.25" customHeight="1" x14ac:dyDescent="0.25">
      <c r="A122" s="347" t="s">
        <v>378</v>
      </c>
      <c r="B122" s="348" t="s">
        <v>462</v>
      </c>
      <c r="C122" s="348" t="s">
        <v>237</v>
      </c>
      <c r="D122" s="348" t="s">
        <v>1031</v>
      </c>
      <c r="E122" s="348" t="s">
        <v>241</v>
      </c>
      <c r="F122" s="349" t="s">
        <v>464</v>
      </c>
      <c r="G122" s="498"/>
      <c r="H122" s="679">
        <v>3</v>
      </c>
      <c r="I122" s="675">
        <v>3</v>
      </c>
      <c r="J122" s="675"/>
      <c r="K122" s="675">
        <v>25</v>
      </c>
      <c r="L122" s="676"/>
      <c r="M122" s="674"/>
      <c r="N122" s="357"/>
      <c r="O122" s="357"/>
      <c r="P122" s="357">
        <v>7</v>
      </c>
      <c r="Q122" s="357"/>
      <c r="R122" s="677" t="s">
        <v>1632</v>
      </c>
      <c r="S122" s="678">
        <f t="shared" si="11"/>
        <v>3</v>
      </c>
      <c r="T122" s="678">
        <f t="shared" si="11"/>
        <v>3</v>
      </c>
      <c r="U122" s="678">
        <f t="shared" si="16"/>
        <v>0</v>
      </c>
      <c r="V122" s="678">
        <f t="shared" si="17"/>
        <v>18</v>
      </c>
      <c r="W122" s="678">
        <f t="shared" si="18"/>
        <v>0</v>
      </c>
      <c r="X122" s="346"/>
    </row>
    <row r="123" spans="1:24" s="344" customFormat="1" ht="11.25" customHeight="1" x14ac:dyDescent="0.25">
      <c r="A123" s="347" t="s">
        <v>378</v>
      </c>
      <c r="B123" s="348" t="s">
        <v>1336</v>
      </c>
      <c r="C123" s="348" t="s">
        <v>237</v>
      </c>
      <c r="D123" s="348" t="s">
        <v>1857</v>
      </c>
      <c r="E123" s="348" t="s">
        <v>1843</v>
      </c>
      <c r="F123" s="349" t="s">
        <v>464</v>
      </c>
      <c r="G123" s="498"/>
      <c r="H123" s="679">
        <v>157</v>
      </c>
      <c r="I123" s="679">
        <v>157</v>
      </c>
      <c r="J123" s="675"/>
      <c r="K123" s="675"/>
      <c r="L123" s="676"/>
      <c r="M123" s="674"/>
      <c r="N123" s="357"/>
      <c r="O123" s="357"/>
      <c r="P123" s="357"/>
      <c r="Q123" s="357"/>
      <c r="R123" s="677"/>
      <c r="S123" s="678">
        <f t="shared" si="11"/>
        <v>157</v>
      </c>
      <c r="T123" s="678">
        <f t="shared" si="11"/>
        <v>157</v>
      </c>
      <c r="U123" s="678"/>
      <c r="V123" s="678"/>
      <c r="W123" s="678"/>
      <c r="X123" s="346"/>
    </row>
    <row r="124" spans="1:24" s="344" customFormat="1" ht="11.25" customHeight="1" x14ac:dyDescent="0.25">
      <c r="A124" s="347" t="s">
        <v>378</v>
      </c>
      <c r="B124" s="348" t="s">
        <v>1336</v>
      </c>
      <c r="C124" s="348" t="s">
        <v>237</v>
      </c>
      <c r="D124" s="348" t="s">
        <v>1862</v>
      </c>
      <c r="E124" s="348" t="s">
        <v>1844</v>
      </c>
      <c r="F124" s="349" t="s">
        <v>464</v>
      </c>
      <c r="G124" s="498"/>
      <c r="H124" s="679">
        <v>215</v>
      </c>
      <c r="I124" s="679">
        <v>215</v>
      </c>
      <c r="J124" s="675"/>
      <c r="K124" s="675"/>
      <c r="L124" s="676"/>
      <c r="M124" s="674"/>
      <c r="N124" s="357"/>
      <c r="O124" s="357"/>
      <c r="P124" s="357"/>
      <c r="Q124" s="357"/>
      <c r="R124" s="677"/>
      <c r="S124" s="678">
        <f t="shared" si="11"/>
        <v>215</v>
      </c>
      <c r="T124" s="678">
        <f t="shared" si="11"/>
        <v>215</v>
      </c>
      <c r="U124" s="678"/>
      <c r="V124" s="678"/>
      <c r="W124" s="678"/>
      <c r="X124" s="346"/>
    </row>
    <row r="125" spans="1:24" s="344" customFormat="1" ht="11.25" customHeight="1" x14ac:dyDescent="0.25">
      <c r="A125" s="347" t="s">
        <v>378</v>
      </c>
      <c r="B125" s="348" t="s">
        <v>462</v>
      </c>
      <c r="C125" s="348" t="s">
        <v>237</v>
      </c>
      <c r="D125" s="348" t="s">
        <v>248</v>
      </c>
      <c r="E125" s="348" t="s">
        <v>247</v>
      </c>
      <c r="F125" s="349" t="s">
        <v>464</v>
      </c>
      <c r="G125" s="365"/>
      <c r="H125" s="679">
        <v>0</v>
      </c>
      <c r="I125" s="675">
        <v>0</v>
      </c>
      <c r="J125" s="675">
        <v>5</v>
      </c>
      <c r="K125" s="675"/>
      <c r="L125" s="676"/>
      <c r="M125" s="674"/>
      <c r="N125" s="357"/>
      <c r="O125" s="357">
        <v>5</v>
      </c>
      <c r="P125" s="357"/>
      <c r="Q125" s="357"/>
      <c r="R125" s="677" t="s">
        <v>1632</v>
      </c>
      <c r="S125" s="678">
        <f t="shared" si="11"/>
        <v>0</v>
      </c>
      <c r="T125" s="678">
        <f t="shared" si="11"/>
        <v>0</v>
      </c>
      <c r="U125" s="678">
        <f t="shared" si="16"/>
        <v>0</v>
      </c>
      <c r="V125" s="678">
        <f t="shared" si="17"/>
        <v>0</v>
      </c>
      <c r="W125" s="678">
        <f t="shared" si="18"/>
        <v>0</v>
      </c>
      <c r="X125" s="346"/>
    </row>
    <row r="126" spans="1:24" s="344" customFormat="1" ht="11.25" customHeight="1" x14ac:dyDescent="0.25">
      <c r="A126" s="347" t="s">
        <v>378</v>
      </c>
      <c r="B126" s="348" t="s">
        <v>424</v>
      </c>
      <c r="C126" s="348" t="s">
        <v>237</v>
      </c>
      <c r="D126" s="348" t="s">
        <v>250</v>
      </c>
      <c r="E126" s="348" t="s">
        <v>249</v>
      </c>
      <c r="F126" s="349" t="s">
        <v>464</v>
      </c>
      <c r="G126" s="498"/>
      <c r="H126" s="679"/>
      <c r="I126" s="675"/>
      <c r="J126" s="675"/>
      <c r="K126" s="675">
        <v>26</v>
      </c>
      <c r="L126" s="676">
        <v>0</v>
      </c>
      <c r="M126" s="674"/>
      <c r="N126" s="357"/>
      <c r="O126" s="357"/>
      <c r="P126" s="357">
        <v>26</v>
      </c>
      <c r="Q126" s="357"/>
      <c r="R126" s="677" t="s">
        <v>1633</v>
      </c>
      <c r="S126" s="678">
        <f t="shared" si="11"/>
        <v>0</v>
      </c>
      <c r="T126" s="678">
        <f t="shared" si="11"/>
        <v>0</v>
      </c>
      <c r="U126" s="678">
        <f t="shared" si="16"/>
        <v>0</v>
      </c>
      <c r="V126" s="678">
        <f t="shared" si="17"/>
        <v>0</v>
      </c>
      <c r="W126" s="678">
        <f t="shared" si="18"/>
        <v>0</v>
      </c>
      <c r="X126" s="346" t="s">
        <v>1339</v>
      </c>
    </row>
    <row r="127" spans="1:24" s="344" customFormat="1" ht="11.25" customHeight="1" x14ac:dyDescent="0.25">
      <c r="A127" s="347" t="s">
        <v>378</v>
      </c>
      <c r="B127" s="348" t="s">
        <v>424</v>
      </c>
      <c r="C127" s="348" t="s">
        <v>237</v>
      </c>
      <c r="D127" s="348" t="s">
        <v>274</v>
      </c>
      <c r="E127" s="348" t="s">
        <v>273</v>
      </c>
      <c r="F127" s="349" t="s">
        <v>464</v>
      </c>
      <c r="G127" s="365" t="s">
        <v>1476</v>
      </c>
      <c r="H127" s="679">
        <v>5</v>
      </c>
      <c r="I127" s="675">
        <v>5</v>
      </c>
      <c r="J127" s="675"/>
      <c r="K127" s="675">
        <v>0</v>
      </c>
      <c r="L127" s="676">
        <v>0</v>
      </c>
      <c r="M127" s="674"/>
      <c r="N127" s="357"/>
      <c r="O127" s="357"/>
      <c r="P127" s="357"/>
      <c r="Q127" s="357"/>
      <c r="R127" s="677"/>
      <c r="S127" s="678">
        <f t="shared" si="11"/>
        <v>5</v>
      </c>
      <c r="T127" s="678">
        <f t="shared" si="11"/>
        <v>5</v>
      </c>
      <c r="U127" s="678">
        <f t="shared" si="16"/>
        <v>0</v>
      </c>
      <c r="V127" s="678">
        <f t="shared" si="17"/>
        <v>0</v>
      </c>
      <c r="W127" s="678">
        <f t="shared" si="18"/>
        <v>0</v>
      </c>
      <c r="X127" s="346"/>
    </row>
    <row r="128" spans="1:24" s="344" customFormat="1" ht="11.25" customHeight="1" x14ac:dyDescent="0.25">
      <c r="A128" s="347" t="s">
        <v>378</v>
      </c>
      <c r="B128" s="348" t="s">
        <v>462</v>
      </c>
      <c r="C128" s="348" t="s">
        <v>237</v>
      </c>
      <c r="D128" s="348" t="s">
        <v>278</v>
      </c>
      <c r="E128" s="348" t="s">
        <v>277</v>
      </c>
      <c r="F128" s="349" t="s">
        <v>464</v>
      </c>
      <c r="G128" s="498"/>
      <c r="H128" s="679">
        <v>0</v>
      </c>
      <c r="I128" s="675">
        <v>0</v>
      </c>
      <c r="J128" s="675"/>
      <c r="K128" s="675">
        <v>0</v>
      </c>
      <c r="L128" s="676">
        <v>1</v>
      </c>
      <c r="M128" s="674"/>
      <c r="N128" s="357"/>
      <c r="O128" s="357"/>
      <c r="P128" s="357"/>
      <c r="Q128" s="357"/>
      <c r="R128" s="677"/>
      <c r="S128" s="678">
        <f t="shared" si="11"/>
        <v>0</v>
      </c>
      <c r="T128" s="678">
        <f t="shared" si="11"/>
        <v>0</v>
      </c>
      <c r="U128" s="678">
        <f t="shared" si="16"/>
        <v>0</v>
      </c>
      <c r="V128" s="678">
        <f t="shared" si="17"/>
        <v>0</v>
      </c>
      <c r="W128" s="678">
        <f t="shared" si="18"/>
        <v>1</v>
      </c>
      <c r="X128" s="346"/>
    </row>
    <row r="129" spans="1:24" s="344" customFormat="1" ht="11.25" customHeight="1" x14ac:dyDescent="0.25">
      <c r="A129" s="350" t="s">
        <v>3</v>
      </c>
      <c r="B129" s="351"/>
      <c r="C129" s="351"/>
      <c r="D129" s="352"/>
      <c r="E129" s="353"/>
      <c r="F129" s="354"/>
      <c r="G129" s="507"/>
      <c r="H129" s="355">
        <f>SUM(H105:H128)</f>
        <v>491</v>
      </c>
      <c r="I129" s="355">
        <f t="shared" ref="I129:W129" si="21">SUM(I105:I128)</f>
        <v>491</v>
      </c>
      <c r="J129" s="355">
        <f t="shared" si="21"/>
        <v>80</v>
      </c>
      <c r="K129" s="355">
        <f t="shared" si="21"/>
        <v>331</v>
      </c>
      <c r="L129" s="355">
        <f t="shared" si="21"/>
        <v>4</v>
      </c>
      <c r="M129" s="355">
        <f t="shared" si="21"/>
        <v>0</v>
      </c>
      <c r="N129" s="355">
        <f t="shared" si="21"/>
        <v>0</v>
      </c>
      <c r="O129" s="355">
        <f t="shared" si="21"/>
        <v>5</v>
      </c>
      <c r="P129" s="355">
        <f t="shared" si="21"/>
        <v>253</v>
      </c>
      <c r="Q129" s="355">
        <f t="shared" si="21"/>
        <v>0</v>
      </c>
      <c r="R129" s="355">
        <f t="shared" si="21"/>
        <v>0</v>
      </c>
      <c r="S129" s="355">
        <f t="shared" si="21"/>
        <v>491</v>
      </c>
      <c r="T129" s="355">
        <f t="shared" si="21"/>
        <v>491</v>
      </c>
      <c r="U129" s="355">
        <f t="shared" si="21"/>
        <v>75</v>
      </c>
      <c r="V129" s="355">
        <f t="shared" si="21"/>
        <v>78</v>
      </c>
      <c r="W129" s="355">
        <f t="shared" si="21"/>
        <v>4</v>
      </c>
      <c r="X129" s="346"/>
    </row>
    <row r="130" spans="1:24" s="344" customFormat="1" ht="11.25" customHeight="1" x14ac:dyDescent="0.25">
      <c r="A130" s="347" t="s">
        <v>1321</v>
      </c>
      <c r="B130" s="348" t="s">
        <v>424</v>
      </c>
      <c r="C130" s="348" t="s">
        <v>1358</v>
      </c>
      <c r="D130" s="348" t="s">
        <v>291</v>
      </c>
      <c r="E130" s="348" t="s">
        <v>290</v>
      </c>
      <c r="F130" s="349" t="s">
        <v>464</v>
      </c>
      <c r="G130" s="498"/>
      <c r="H130" s="679">
        <v>5</v>
      </c>
      <c r="I130" s="675"/>
      <c r="J130" s="675">
        <v>78</v>
      </c>
      <c r="K130" s="675">
        <v>41</v>
      </c>
      <c r="L130" s="676"/>
      <c r="M130" s="674"/>
      <c r="N130" s="357"/>
      <c r="O130" s="357">
        <v>20</v>
      </c>
      <c r="P130" s="357"/>
      <c r="Q130" s="357"/>
      <c r="R130" s="677" t="s">
        <v>1833</v>
      </c>
      <c r="S130" s="678">
        <f t="shared" si="11"/>
        <v>5</v>
      </c>
      <c r="T130" s="678">
        <f t="shared" si="11"/>
        <v>0</v>
      </c>
      <c r="U130" s="678">
        <f t="shared" si="16"/>
        <v>58</v>
      </c>
      <c r="V130" s="678">
        <f t="shared" si="17"/>
        <v>41</v>
      </c>
      <c r="W130" s="678">
        <f t="shared" si="18"/>
        <v>0</v>
      </c>
      <c r="X130" s="346" t="s">
        <v>1652</v>
      </c>
    </row>
    <row r="131" spans="1:24" s="344" customFormat="1" ht="11.25" customHeight="1" x14ac:dyDescent="0.25">
      <c r="A131" s="347" t="s">
        <v>1321</v>
      </c>
      <c r="B131" s="348" t="s">
        <v>424</v>
      </c>
      <c r="C131" s="348" t="s">
        <v>1358</v>
      </c>
      <c r="D131" s="348" t="s">
        <v>289</v>
      </c>
      <c r="E131" s="348" t="s">
        <v>287</v>
      </c>
      <c r="F131" s="349" t="s">
        <v>464</v>
      </c>
      <c r="G131" s="365" t="s">
        <v>1476</v>
      </c>
      <c r="H131" s="679">
        <v>36</v>
      </c>
      <c r="I131" s="675">
        <v>66</v>
      </c>
      <c r="J131" s="675"/>
      <c r="K131" s="675">
        <v>5</v>
      </c>
      <c r="L131" s="676"/>
      <c r="M131" s="674"/>
      <c r="N131" s="357"/>
      <c r="O131" s="357"/>
      <c r="P131" s="357"/>
      <c r="Q131" s="357"/>
      <c r="R131" s="677"/>
      <c r="S131" s="678">
        <f t="shared" si="11"/>
        <v>36</v>
      </c>
      <c r="T131" s="678">
        <f t="shared" si="11"/>
        <v>66</v>
      </c>
      <c r="U131" s="678">
        <f t="shared" si="16"/>
        <v>0</v>
      </c>
      <c r="V131" s="678">
        <f t="shared" si="17"/>
        <v>5</v>
      </c>
      <c r="W131" s="678">
        <f t="shared" si="18"/>
        <v>0</v>
      </c>
      <c r="X131" s="346"/>
    </row>
    <row r="132" spans="1:24" s="344" customFormat="1" ht="11.25" customHeight="1" x14ac:dyDescent="0.25">
      <c r="A132" s="347" t="s">
        <v>1321</v>
      </c>
      <c r="B132" s="348" t="s">
        <v>424</v>
      </c>
      <c r="C132" s="348" t="s">
        <v>1358</v>
      </c>
      <c r="D132" s="348" t="s">
        <v>1359</v>
      </c>
      <c r="E132" s="348" t="s">
        <v>906</v>
      </c>
      <c r="F132" s="349" t="s">
        <v>464</v>
      </c>
      <c r="G132" s="498"/>
      <c r="H132" s="679"/>
      <c r="I132" s="675"/>
      <c r="J132" s="675"/>
      <c r="K132" s="675"/>
      <c r="L132" s="676">
        <v>1</v>
      </c>
      <c r="M132" s="674"/>
      <c r="N132" s="357"/>
      <c r="O132" s="357"/>
      <c r="P132" s="357"/>
      <c r="Q132" s="357"/>
      <c r="R132" s="677"/>
      <c r="S132" s="678">
        <f t="shared" si="11"/>
        <v>0</v>
      </c>
      <c r="T132" s="678">
        <f t="shared" si="11"/>
        <v>0</v>
      </c>
      <c r="U132" s="678">
        <f t="shared" si="16"/>
        <v>0</v>
      </c>
      <c r="V132" s="678">
        <f t="shared" si="17"/>
        <v>0</v>
      </c>
      <c r="W132" s="678">
        <f t="shared" si="18"/>
        <v>1</v>
      </c>
      <c r="X132" s="346"/>
    </row>
    <row r="133" spans="1:24" s="344" customFormat="1" ht="11.25" customHeight="1" x14ac:dyDescent="0.25">
      <c r="A133" s="347" t="s">
        <v>1321</v>
      </c>
      <c r="B133" s="348" t="s">
        <v>424</v>
      </c>
      <c r="C133" s="348" t="s">
        <v>1358</v>
      </c>
      <c r="D133" s="348" t="s">
        <v>1360</v>
      </c>
      <c r="E133" s="348" t="s">
        <v>910</v>
      </c>
      <c r="F133" s="349" t="s">
        <v>464</v>
      </c>
      <c r="G133" s="500" t="s">
        <v>1473</v>
      </c>
      <c r="H133" s="679"/>
      <c r="I133" s="675">
        <v>0</v>
      </c>
      <c r="J133" s="675"/>
      <c r="K133" s="675">
        <v>6</v>
      </c>
      <c r="L133" s="676">
        <v>1</v>
      </c>
      <c r="M133" s="674"/>
      <c r="N133" s="357"/>
      <c r="O133" s="357"/>
      <c r="P133" s="357"/>
      <c r="Q133" s="357"/>
      <c r="R133" s="677"/>
      <c r="S133" s="678">
        <f t="shared" si="11"/>
        <v>0</v>
      </c>
      <c r="T133" s="678">
        <f t="shared" si="11"/>
        <v>0</v>
      </c>
      <c r="U133" s="678">
        <f t="shared" si="16"/>
        <v>0</v>
      </c>
      <c r="V133" s="678">
        <f t="shared" si="17"/>
        <v>6</v>
      </c>
      <c r="W133" s="678">
        <f t="shared" si="18"/>
        <v>1</v>
      </c>
      <c r="X133" s="346"/>
    </row>
    <row r="134" spans="1:24" s="344" customFormat="1" ht="11.25" customHeight="1" x14ac:dyDescent="0.25">
      <c r="A134" s="347" t="s">
        <v>1321</v>
      </c>
      <c r="B134" s="348" t="s">
        <v>1336</v>
      </c>
      <c r="C134" s="348" t="s">
        <v>288</v>
      </c>
      <c r="D134" s="348" t="s">
        <v>1142</v>
      </c>
      <c r="E134" s="348" t="s">
        <v>1125</v>
      </c>
      <c r="F134" s="349" t="s">
        <v>464</v>
      </c>
      <c r="G134" s="498"/>
      <c r="H134" s="679">
        <v>62</v>
      </c>
      <c r="I134" s="357"/>
      <c r="J134" s="357"/>
      <c r="K134" s="675"/>
      <c r="L134" s="676"/>
      <c r="M134" s="674"/>
      <c r="N134" s="357"/>
      <c r="O134" s="357"/>
      <c r="P134" s="357"/>
      <c r="Q134" s="357"/>
      <c r="R134" s="677"/>
      <c r="S134" s="678">
        <f t="shared" si="11"/>
        <v>62</v>
      </c>
      <c r="T134" s="678">
        <f t="shared" si="11"/>
        <v>0</v>
      </c>
      <c r="U134" s="678">
        <f t="shared" si="16"/>
        <v>0</v>
      </c>
      <c r="V134" s="678">
        <f t="shared" si="17"/>
        <v>0</v>
      </c>
      <c r="W134" s="678">
        <f t="shared" si="18"/>
        <v>0</v>
      </c>
      <c r="X134" s="346"/>
    </row>
    <row r="135" spans="1:24" s="344" customFormat="1" ht="11.25" customHeight="1" x14ac:dyDescent="0.25">
      <c r="A135" s="347" t="s">
        <v>1321</v>
      </c>
      <c r="B135" s="348" t="s">
        <v>1324</v>
      </c>
      <c r="C135" s="348" t="s">
        <v>1358</v>
      </c>
      <c r="D135" s="348" t="s">
        <v>1361</v>
      </c>
      <c r="E135" s="348" t="s">
        <v>294</v>
      </c>
      <c r="F135" s="349" t="s">
        <v>464</v>
      </c>
      <c r="G135" s="498"/>
      <c r="H135" s="679"/>
      <c r="I135" s="675"/>
      <c r="J135" s="675"/>
      <c r="K135" s="675">
        <v>20</v>
      </c>
      <c r="L135" s="676"/>
      <c r="M135" s="674"/>
      <c r="N135" s="357"/>
      <c r="O135" s="357"/>
      <c r="P135" s="357">
        <v>20</v>
      </c>
      <c r="Q135" s="357"/>
      <c r="R135" s="677" t="s">
        <v>1620</v>
      </c>
      <c r="S135" s="678">
        <f t="shared" si="11"/>
        <v>0</v>
      </c>
      <c r="T135" s="678">
        <f t="shared" si="11"/>
        <v>0</v>
      </c>
      <c r="U135" s="678">
        <f t="shared" si="16"/>
        <v>0</v>
      </c>
      <c r="V135" s="678">
        <f t="shared" si="17"/>
        <v>0</v>
      </c>
      <c r="W135" s="678">
        <f t="shared" si="18"/>
        <v>0</v>
      </c>
      <c r="X135" s="346" t="s">
        <v>1362</v>
      </c>
    </row>
    <row r="136" spans="1:24" s="344" customFormat="1" ht="11.25" customHeight="1" x14ac:dyDescent="0.25">
      <c r="A136" s="350" t="s">
        <v>3</v>
      </c>
      <c r="B136" s="351"/>
      <c r="C136" s="351"/>
      <c r="D136" s="352"/>
      <c r="E136" s="353"/>
      <c r="F136" s="354"/>
      <c r="G136" s="507"/>
      <c r="H136" s="355">
        <f>SUM(H130:H135)</f>
        <v>103</v>
      </c>
      <c r="I136" s="353">
        <f>SUM(I130:I135)</f>
        <v>66</v>
      </c>
      <c r="J136" s="353">
        <f t="shared" ref="J136:W136" si="22">SUM(J130:J135)</f>
        <v>78</v>
      </c>
      <c r="K136" s="353">
        <f t="shared" si="22"/>
        <v>72</v>
      </c>
      <c r="L136" s="353">
        <f t="shared" si="22"/>
        <v>2</v>
      </c>
      <c r="M136" s="353">
        <f t="shared" si="22"/>
        <v>0</v>
      </c>
      <c r="N136" s="353">
        <f t="shared" si="22"/>
        <v>0</v>
      </c>
      <c r="O136" s="353">
        <f t="shared" si="22"/>
        <v>20</v>
      </c>
      <c r="P136" s="353">
        <f t="shared" si="22"/>
        <v>20</v>
      </c>
      <c r="Q136" s="353">
        <f t="shared" si="22"/>
        <v>0</v>
      </c>
      <c r="R136" s="353">
        <f t="shared" si="22"/>
        <v>0</v>
      </c>
      <c r="S136" s="353">
        <f t="shared" si="22"/>
        <v>103</v>
      </c>
      <c r="T136" s="353">
        <f t="shared" si="22"/>
        <v>66</v>
      </c>
      <c r="U136" s="353">
        <f t="shared" si="22"/>
        <v>58</v>
      </c>
      <c r="V136" s="353">
        <f t="shared" si="22"/>
        <v>52</v>
      </c>
      <c r="W136" s="353">
        <f t="shared" si="22"/>
        <v>2</v>
      </c>
      <c r="X136" s="346"/>
    </row>
    <row r="137" spans="1:24" s="344" customFormat="1" ht="11.25" customHeight="1" x14ac:dyDescent="0.25">
      <c r="A137" s="347" t="s">
        <v>1321</v>
      </c>
      <c r="B137" s="348" t="s">
        <v>1336</v>
      </c>
      <c r="C137" s="348" t="s">
        <v>297</v>
      </c>
      <c r="D137" s="348" t="s">
        <v>1138</v>
      </c>
      <c r="E137" s="348" t="s">
        <v>1122</v>
      </c>
      <c r="F137" s="349" t="s">
        <v>464</v>
      </c>
      <c r="G137" s="498" t="s">
        <v>1311</v>
      </c>
      <c r="H137" s="679">
        <v>25</v>
      </c>
      <c r="I137" s="675">
        <v>25</v>
      </c>
      <c r="J137" s="675"/>
      <c r="K137" s="675"/>
      <c r="L137" s="676"/>
      <c r="M137" s="674">
        <v>25</v>
      </c>
      <c r="N137" s="357">
        <v>25</v>
      </c>
      <c r="O137" s="357"/>
      <c r="P137" s="357"/>
      <c r="Q137" s="357"/>
      <c r="R137" s="677" t="s">
        <v>778</v>
      </c>
      <c r="S137" s="678">
        <f t="shared" si="11"/>
        <v>0</v>
      </c>
      <c r="T137" s="678">
        <f t="shared" si="11"/>
        <v>0</v>
      </c>
      <c r="U137" s="678">
        <f t="shared" si="16"/>
        <v>0</v>
      </c>
      <c r="V137" s="678">
        <f t="shared" si="17"/>
        <v>0</v>
      </c>
      <c r="W137" s="678">
        <f t="shared" si="18"/>
        <v>0</v>
      </c>
      <c r="X137" s="346" t="s">
        <v>1323</v>
      </c>
    </row>
    <row r="138" spans="1:24" s="344" customFormat="1" ht="11.25" customHeight="1" x14ac:dyDescent="0.25">
      <c r="A138" s="347" t="s">
        <v>1321</v>
      </c>
      <c r="B138" s="348" t="s">
        <v>1324</v>
      </c>
      <c r="C138" s="348" t="s">
        <v>297</v>
      </c>
      <c r="D138" s="348" t="s">
        <v>1192</v>
      </c>
      <c r="E138" s="348" t="s">
        <v>1174</v>
      </c>
      <c r="F138" s="349" t="s">
        <v>464</v>
      </c>
      <c r="G138" s="498" t="s">
        <v>1311</v>
      </c>
      <c r="H138" s="679"/>
      <c r="I138" s="675">
        <v>0</v>
      </c>
      <c r="J138" s="675"/>
      <c r="K138" s="675">
        <v>20</v>
      </c>
      <c r="L138" s="676"/>
      <c r="M138" s="674"/>
      <c r="N138" s="357"/>
      <c r="O138" s="357"/>
      <c r="P138" s="357">
        <v>20</v>
      </c>
      <c r="Q138" s="357"/>
      <c r="R138" s="677" t="s">
        <v>1620</v>
      </c>
      <c r="S138" s="678">
        <f t="shared" si="11"/>
        <v>0</v>
      </c>
      <c r="T138" s="678">
        <f t="shared" si="11"/>
        <v>0</v>
      </c>
      <c r="U138" s="678">
        <f t="shared" si="16"/>
        <v>0</v>
      </c>
      <c r="V138" s="678">
        <f t="shared" si="17"/>
        <v>0</v>
      </c>
      <c r="W138" s="678">
        <f t="shared" si="18"/>
        <v>0</v>
      </c>
      <c r="X138" s="346"/>
    </row>
    <row r="139" spans="1:24" s="344" customFormat="1" ht="11.25" customHeight="1" x14ac:dyDescent="0.25">
      <c r="A139" s="347" t="s">
        <v>1321</v>
      </c>
      <c r="B139" s="348" t="s">
        <v>424</v>
      </c>
      <c r="C139" s="348" t="s">
        <v>297</v>
      </c>
      <c r="D139" s="348" t="s">
        <v>759</v>
      </c>
      <c r="E139" s="348" t="s">
        <v>296</v>
      </c>
      <c r="F139" s="349" t="s">
        <v>464</v>
      </c>
      <c r="G139" s="498" t="s">
        <v>1476</v>
      </c>
      <c r="H139" s="679">
        <v>45</v>
      </c>
      <c r="I139" s="675">
        <v>45</v>
      </c>
      <c r="J139" s="675"/>
      <c r="K139" s="675"/>
      <c r="L139" s="676"/>
      <c r="M139" s="674">
        <v>45</v>
      </c>
      <c r="N139" s="357">
        <v>45</v>
      </c>
      <c r="O139" s="357"/>
      <c r="P139" s="357"/>
      <c r="Q139" s="357"/>
      <c r="R139" s="677" t="s">
        <v>1664</v>
      </c>
      <c r="S139" s="678">
        <f t="shared" ref="S139:T171" si="23">H139-M139</f>
        <v>0</v>
      </c>
      <c r="T139" s="678">
        <f t="shared" si="23"/>
        <v>0</v>
      </c>
      <c r="U139" s="678">
        <f t="shared" si="16"/>
        <v>0</v>
      </c>
      <c r="V139" s="678">
        <f t="shared" si="17"/>
        <v>0</v>
      </c>
      <c r="W139" s="678">
        <f t="shared" si="18"/>
        <v>0</v>
      </c>
      <c r="X139" s="346" t="s">
        <v>1665</v>
      </c>
    </row>
    <row r="140" spans="1:24" s="344" customFormat="1" ht="11.25" customHeight="1" x14ac:dyDescent="0.25">
      <c r="A140" s="347" t="s">
        <v>1321</v>
      </c>
      <c r="B140" s="348" t="s">
        <v>1324</v>
      </c>
      <c r="C140" s="348" t="s">
        <v>297</v>
      </c>
      <c r="D140" s="348" t="s">
        <v>1523</v>
      </c>
      <c r="E140" s="348" t="s">
        <v>1280</v>
      </c>
      <c r="F140" s="349" t="s">
        <v>464</v>
      </c>
      <c r="G140" s="498" t="s">
        <v>1311</v>
      </c>
      <c r="H140" s="679"/>
      <c r="I140" s="675"/>
      <c r="J140" s="675">
        <v>59</v>
      </c>
      <c r="K140" s="675"/>
      <c r="L140" s="676"/>
      <c r="M140" s="674"/>
      <c r="N140" s="357"/>
      <c r="O140" s="357">
        <v>52</v>
      </c>
      <c r="P140" s="357"/>
      <c r="Q140" s="357"/>
      <c r="R140" s="677" t="s">
        <v>1620</v>
      </c>
      <c r="S140" s="678">
        <f t="shared" si="23"/>
        <v>0</v>
      </c>
      <c r="T140" s="678">
        <f t="shared" si="23"/>
        <v>0</v>
      </c>
      <c r="U140" s="678">
        <f t="shared" si="16"/>
        <v>7</v>
      </c>
      <c r="V140" s="678">
        <f t="shared" si="17"/>
        <v>0</v>
      </c>
      <c r="W140" s="678">
        <f t="shared" si="18"/>
        <v>0</v>
      </c>
      <c r="X140" s="346"/>
    </row>
    <row r="141" spans="1:24" s="344" customFormat="1" ht="11.25" customHeight="1" x14ac:dyDescent="0.25">
      <c r="A141" s="350" t="s">
        <v>3</v>
      </c>
      <c r="B141" s="351"/>
      <c r="C141" s="351"/>
      <c r="D141" s="352"/>
      <c r="E141" s="353"/>
      <c r="F141" s="354"/>
      <c r="G141" s="507"/>
      <c r="H141" s="355">
        <f>SUM(H137:H140)</f>
        <v>70</v>
      </c>
      <c r="I141" s="353">
        <f>SUM(I137:I140)</f>
        <v>70</v>
      </c>
      <c r="J141" s="353">
        <f t="shared" ref="J141:W141" si="24">SUM(J137:J140)</f>
        <v>59</v>
      </c>
      <c r="K141" s="353">
        <f t="shared" si="24"/>
        <v>20</v>
      </c>
      <c r="L141" s="353">
        <f t="shared" si="24"/>
        <v>0</v>
      </c>
      <c r="M141" s="353">
        <f t="shared" si="24"/>
        <v>70</v>
      </c>
      <c r="N141" s="353">
        <f t="shared" si="24"/>
        <v>70</v>
      </c>
      <c r="O141" s="353">
        <f t="shared" si="24"/>
        <v>52</v>
      </c>
      <c r="P141" s="353">
        <f t="shared" si="24"/>
        <v>20</v>
      </c>
      <c r="Q141" s="353">
        <f t="shared" si="24"/>
        <v>0</v>
      </c>
      <c r="R141" s="353">
        <f t="shared" si="24"/>
        <v>0</v>
      </c>
      <c r="S141" s="353">
        <f t="shared" si="24"/>
        <v>0</v>
      </c>
      <c r="T141" s="353">
        <f t="shared" si="24"/>
        <v>0</v>
      </c>
      <c r="U141" s="353">
        <f t="shared" si="24"/>
        <v>7</v>
      </c>
      <c r="V141" s="353">
        <f t="shared" si="24"/>
        <v>0</v>
      </c>
      <c r="W141" s="353">
        <f t="shared" si="24"/>
        <v>0</v>
      </c>
      <c r="X141" s="346"/>
    </row>
    <row r="142" spans="1:24" s="344" customFormat="1" ht="11.25" customHeight="1" x14ac:dyDescent="0.25">
      <c r="A142" s="347" t="s">
        <v>378</v>
      </c>
      <c r="B142" s="372" t="s">
        <v>1336</v>
      </c>
      <c r="C142" s="348" t="s">
        <v>299</v>
      </c>
      <c r="D142" s="686" t="s">
        <v>300</v>
      </c>
      <c r="E142" s="348" t="s">
        <v>298</v>
      </c>
      <c r="F142" s="349" t="s">
        <v>464</v>
      </c>
      <c r="G142" s="498"/>
      <c r="H142" s="679"/>
      <c r="I142" s="675"/>
      <c r="J142" s="675"/>
      <c r="K142" s="675"/>
      <c r="L142" s="676"/>
      <c r="M142" s="674"/>
      <c r="N142" s="357"/>
      <c r="O142" s="357"/>
      <c r="P142" s="357"/>
      <c r="Q142" s="357"/>
      <c r="R142" s="677"/>
      <c r="S142" s="678">
        <f t="shared" si="23"/>
        <v>0</v>
      </c>
      <c r="T142" s="678">
        <f t="shared" si="23"/>
        <v>0</v>
      </c>
      <c r="U142" s="678">
        <f t="shared" si="16"/>
        <v>0</v>
      </c>
      <c r="V142" s="678">
        <f t="shared" si="17"/>
        <v>0</v>
      </c>
      <c r="W142" s="678">
        <f t="shared" si="18"/>
        <v>0</v>
      </c>
      <c r="X142" s="346"/>
    </row>
    <row r="143" spans="1:24" s="344" customFormat="1" ht="11.25" customHeight="1" x14ac:dyDescent="0.25">
      <c r="A143" s="347" t="s">
        <v>378</v>
      </c>
      <c r="B143" s="348" t="s">
        <v>424</v>
      </c>
      <c r="C143" s="348" t="s">
        <v>299</v>
      </c>
      <c r="D143" s="686" t="s">
        <v>1046</v>
      </c>
      <c r="E143" s="348" t="s">
        <v>1045</v>
      </c>
      <c r="F143" s="349" t="s">
        <v>464</v>
      </c>
      <c r="G143" s="498"/>
      <c r="H143" s="679"/>
      <c r="I143" s="675"/>
      <c r="J143" s="675"/>
      <c r="K143" s="675">
        <v>30</v>
      </c>
      <c r="L143" s="676">
        <v>1</v>
      </c>
      <c r="M143" s="674"/>
      <c r="N143" s="357"/>
      <c r="O143" s="357"/>
      <c r="P143" s="357"/>
      <c r="Q143" s="357"/>
      <c r="R143" s="677"/>
      <c r="S143" s="678">
        <f t="shared" si="23"/>
        <v>0</v>
      </c>
      <c r="T143" s="678">
        <f t="shared" si="23"/>
        <v>0</v>
      </c>
      <c r="U143" s="678">
        <f t="shared" si="16"/>
        <v>0</v>
      </c>
      <c r="V143" s="678">
        <f t="shared" si="17"/>
        <v>30</v>
      </c>
      <c r="W143" s="678">
        <f t="shared" si="18"/>
        <v>1</v>
      </c>
      <c r="X143" s="346"/>
    </row>
    <row r="144" spans="1:24" s="344" customFormat="1" ht="11.25" customHeight="1" x14ac:dyDescent="0.25">
      <c r="A144" s="350" t="s">
        <v>3</v>
      </c>
      <c r="B144" s="351"/>
      <c r="C144" s="351"/>
      <c r="D144" s="352"/>
      <c r="E144" s="353"/>
      <c r="F144" s="354"/>
      <c r="G144" s="507"/>
      <c r="H144" s="355">
        <f>SUM(H142:H143)</f>
        <v>0</v>
      </c>
      <c r="I144" s="353">
        <f>SUM(I142:I143)</f>
        <v>0</v>
      </c>
      <c r="J144" s="353">
        <f t="shared" ref="J144:W144" si="25">SUM(J142:J143)</f>
        <v>0</v>
      </c>
      <c r="K144" s="353">
        <f t="shared" si="25"/>
        <v>30</v>
      </c>
      <c r="L144" s="353">
        <f t="shared" si="25"/>
        <v>1</v>
      </c>
      <c r="M144" s="353">
        <f t="shared" si="25"/>
        <v>0</v>
      </c>
      <c r="N144" s="353">
        <f t="shared" si="25"/>
        <v>0</v>
      </c>
      <c r="O144" s="353">
        <f t="shared" si="25"/>
        <v>0</v>
      </c>
      <c r="P144" s="353">
        <f t="shared" si="25"/>
        <v>0</v>
      </c>
      <c r="Q144" s="353">
        <f t="shared" si="25"/>
        <v>0</v>
      </c>
      <c r="R144" s="353">
        <f t="shared" si="25"/>
        <v>0</v>
      </c>
      <c r="S144" s="353">
        <f t="shared" si="25"/>
        <v>0</v>
      </c>
      <c r="T144" s="353">
        <f t="shared" si="25"/>
        <v>0</v>
      </c>
      <c r="U144" s="353">
        <f t="shared" si="25"/>
        <v>0</v>
      </c>
      <c r="V144" s="353">
        <f t="shared" si="25"/>
        <v>30</v>
      </c>
      <c r="W144" s="353">
        <f t="shared" si="25"/>
        <v>1</v>
      </c>
      <c r="X144" s="346"/>
    </row>
    <row r="145" spans="1:24" s="344" customFormat="1" ht="11.25" customHeight="1" x14ac:dyDescent="0.25">
      <c r="A145" s="347" t="s">
        <v>378</v>
      </c>
      <c r="B145" s="348" t="s">
        <v>424</v>
      </c>
      <c r="C145" s="348" t="s">
        <v>1363</v>
      </c>
      <c r="D145" s="348" t="s">
        <v>305</v>
      </c>
      <c r="E145" s="348" t="s">
        <v>304</v>
      </c>
      <c r="F145" s="349" t="s">
        <v>464</v>
      </c>
      <c r="G145" s="498"/>
      <c r="H145" s="679"/>
      <c r="I145" s="675"/>
      <c r="J145" s="675"/>
      <c r="K145" s="675">
        <v>50</v>
      </c>
      <c r="L145" s="676"/>
      <c r="M145" s="674"/>
      <c r="N145" s="357"/>
      <c r="O145" s="357"/>
      <c r="P145" s="357"/>
      <c r="Q145" s="357"/>
      <c r="R145" s="677"/>
      <c r="S145" s="678">
        <f t="shared" si="23"/>
        <v>0</v>
      </c>
      <c r="T145" s="678">
        <f t="shared" si="23"/>
        <v>0</v>
      </c>
      <c r="U145" s="678">
        <f t="shared" si="16"/>
        <v>0</v>
      </c>
      <c r="V145" s="678">
        <f t="shared" si="17"/>
        <v>50</v>
      </c>
      <c r="W145" s="678">
        <f t="shared" si="18"/>
        <v>0</v>
      </c>
      <c r="X145" s="346"/>
    </row>
    <row r="146" spans="1:24" s="344" customFormat="1" ht="11.25" customHeight="1" x14ac:dyDescent="0.25">
      <c r="A146" s="347" t="s">
        <v>378</v>
      </c>
      <c r="B146" s="348" t="s">
        <v>1307</v>
      </c>
      <c r="C146" s="348" t="s">
        <v>1363</v>
      </c>
      <c r="D146" s="348" t="s">
        <v>307</v>
      </c>
      <c r="E146" s="348" t="s">
        <v>306</v>
      </c>
      <c r="F146" s="349" t="s">
        <v>464</v>
      </c>
      <c r="G146" s="502"/>
      <c r="H146" s="679"/>
      <c r="I146" s="675"/>
      <c r="J146" s="675"/>
      <c r="K146" s="675"/>
      <c r="L146" s="676"/>
      <c r="M146" s="674"/>
      <c r="N146" s="357"/>
      <c r="O146" s="357"/>
      <c r="P146" s="357"/>
      <c r="Q146" s="357"/>
      <c r="R146" s="677"/>
      <c r="S146" s="678">
        <f t="shared" si="23"/>
        <v>0</v>
      </c>
      <c r="T146" s="678">
        <f t="shared" si="23"/>
        <v>0</v>
      </c>
      <c r="U146" s="678">
        <f t="shared" si="16"/>
        <v>0</v>
      </c>
      <c r="V146" s="678">
        <f t="shared" si="17"/>
        <v>0</v>
      </c>
      <c r="W146" s="678">
        <f t="shared" si="18"/>
        <v>0</v>
      </c>
      <c r="X146" s="346"/>
    </row>
    <row r="147" spans="1:24" s="344" customFormat="1" ht="11.25" customHeight="1" x14ac:dyDescent="0.25">
      <c r="A147" s="350" t="s">
        <v>3</v>
      </c>
      <c r="B147" s="351"/>
      <c r="C147" s="351"/>
      <c r="D147" s="352"/>
      <c r="E147" s="353"/>
      <c r="F147" s="354"/>
      <c r="G147" s="507"/>
      <c r="H147" s="355">
        <f>SUM(H145:H146)</f>
        <v>0</v>
      </c>
      <c r="I147" s="353">
        <f>SUM(I145:I146)</f>
        <v>0</v>
      </c>
      <c r="J147" s="353">
        <f t="shared" ref="J147:W147" si="26">SUM(J145:J146)</f>
        <v>0</v>
      </c>
      <c r="K147" s="353">
        <f t="shared" si="26"/>
        <v>50</v>
      </c>
      <c r="L147" s="353">
        <f t="shared" si="26"/>
        <v>0</v>
      </c>
      <c r="M147" s="353">
        <f t="shared" si="26"/>
        <v>0</v>
      </c>
      <c r="N147" s="353">
        <f t="shared" si="26"/>
        <v>0</v>
      </c>
      <c r="O147" s="353">
        <f t="shared" si="26"/>
        <v>0</v>
      </c>
      <c r="P147" s="353">
        <f t="shared" si="26"/>
        <v>0</v>
      </c>
      <c r="Q147" s="353">
        <f t="shared" si="26"/>
        <v>0</v>
      </c>
      <c r="R147" s="353">
        <f t="shared" si="26"/>
        <v>0</v>
      </c>
      <c r="S147" s="353">
        <f t="shared" si="26"/>
        <v>0</v>
      </c>
      <c r="T147" s="353">
        <f t="shared" si="26"/>
        <v>0</v>
      </c>
      <c r="U147" s="353">
        <f t="shared" si="26"/>
        <v>0</v>
      </c>
      <c r="V147" s="353">
        <f t="shared" si="26"/>
        <v>50</v>
      </c>
      <c r="W147" s="353">
        <f t="shared" si="26"/>
        <v>0</v>
      </c>
      <c r="X147" s="346"/>
    </row>
    <row r="148" spans="1:24" s="344" customFormat="1" ht="11.25" customHeight="1" x14ac:dyDescent="0.25">
      <c r="A148" s="347" t="s">
        <v>378</v>
      </c>
      <c r="B148" s="348" t="s">
        <v>424</v>
      </c>
      <c r="C148" s="348" t="s">
        <v>1364</v>
      </c>
      <c r="D148" s="348" t="s">
        <v>1068</v>
      </c>
      <c r="E148" s="348" t="s">
        <v>1069</v>
      </c>
      <c r="F148" s="349" t="s">
        <v>466</v>
      </c>
      <c r="G148" s="498" t="s">
        <v>1311</v>
      </c>
      <c r="H148" s="679">
        <v>67</v>
      </c>
      <c r="I148" s="675">
        <v>67</v>
      </c>
      <c r="J148" s="675"/>
      <c r="K148" s="675"/>
      <c r="L148" s="676"/>
      <c r="M148" s="674"/>
      <c r="N148" s="357"/>
      <c r="O148" s="357"/>
      <c r="P148" s="357"/>
      <c r="Q148" s="357"/>
      <c r="R148" s="677"/>
      <c r="S148" s="678">
        <f t="shared" si="23"/>
        <v>67</v>
      </c>
      <c r="T148" s="678">
        <f t="shared" si="23"/>
        <v>67</v>
      </c>
      <c r="U148" s="678">
        <f t="shared" si="16"/>
        <v>0</v>
      </c>
      <c r="V148" s="678">
        <f t="shared" si="17"/>
        <v>0</v>
      </c>
      <c r="W148" s="678">
        <f t="shared" si="18"/>
        <v>0</v>
      </c>
      <c r="X148" s="346"/>
    </row>
    <row r="149" spans="1:24" s="344" customFormat="1" ht="11.25" customHeight="1" x14ac:dyDescent="0.25">
      <c r="A149" s="347" t="s">
        <v>378</v>
      </c>
      <c r="B149" s="348" t="s">
        <v>424</v>
      </c>
      <c r="C149" s="366" t="s">
        <v>1364</v>
      </c>
      <c r="D149" s="366" t="s">
        <v>1066</v>
      </c>
      <c r="E149" s="366" t="s">
        <v>1067</v>
      </c>
      <c r="F149" s="367" t="s">
        <v>466</v>
      </c>
      <c r="G149" s="503" t="s">
        <v>1311</v>
      </c>
      <c r="H149" s="679">
        <v>126</v>
      </c>
      <c r="I149" s="675">
        <v>126</v>
      </c>
      <c r="J149" s="675"/>
      <c r="K149" s="675"/>
      <c r="L149" s="676"/>
      <c r="M149" s="674"/>
      <c r="N149" s="357"/>
      <c r="O149" s="357"/>
      <c r="P149" s="357"/>
      <c r="Q149" s="357"/>
      <c r="R149" s="677"/>
      <c r="S149" s="678">
        <f t="shared" si="23"/>
        <v>126</v>
      </c>
      <c r="T149" s="678">
        <f t="shared" si="23"/>
        <v>126</v>
      </c>
      <c r="U149" s="678">
        <f t="shared" si="16"/>
        <v>0</v>
      </c>
      <c r="V149" s="678">
        <f t="shared" si="17"/>
        <v>0</v>
      </c>
      <c r="W149" s="678">
        <f t="shared" si="18"/>
        <v>0</v>
      </c>
      <c r="X149" s="346"/>
    </row>
    <row r="150" spans="1:24" s="344" customFormat="1" ht="11.25" customHeight="1" x14ac:dyDescent="0.25">
      <c r="A150" s="350" t="s">
        <v>3</v>
      </c>
      <c r="B150" s="351"/>
      <c r="C150" s="351"/>
      <c r="D150" s="352"/>
      <c r="E150" s="353"/>
      <c r="F150" s="354"/>
      <c r="G150" s="507"/>
      <c r="H150" s="355">
        <f>SUM(H148:H149)</f>
        <v>193</v>
      </c>
      <c r="I150" s="353">
        <f>SUM(I148:I149)</f>
        <v>193</v>
      </c>
      <c r="J150" s="353">
        <f t="shared" ref="J150:W150" si="27">SUM(J148:J149)</f>
        <v>0</v>
      </c>
      <c r="K150" s="353">
        <f t="shared" si="27"/>
        <v>0</v>
      </c>
      <c r="L150" s="353">
        <f t="shared" si="27"/>
        <v>0</v>
      </c>
      <c r="M150" s="353">
        <f t="shared" si="27"/>
        <v>0</v>
      </c>
      <c r="N150" s="353">
        <f t="shared" si="27"/>
        <v>0</v>
      </c>
      <c r="O150" s="353">
        <f t="shared" si="27"/>
        <v>0</v>
      </c>
      <c r="P150" s="353">
        <f t="shared" si="27"/>
        <v>0</v>
      </c>
      <c r="Q150" s="353">
        <f t="shared" si="27"/>
        <v>0</v>
      </c>
      <c r="R150" s="353">
        <f t="shared" si="27"/>
        <v>0</v>
      </c>
      <c r="S150" s="353">
        <f t="shared" si="27"/>
        <v>193</v>
      </c>
      <c r="T150" s="353">
        <f t="shared" si="27"/>
        <v>193</v>
      </c>
      <c r="U150" s="353">
        <f t="shared" si="27"/>
        <v>0</v>
      </c>
      <c r="V150" s="353">
        <f t="shared" si="27"/>
        <v>0</v>
      </c>
      <c r="W150" s="353">
        <f t="shared" si="27"/>
        <v>0</v>
      </c>
      <c r="X150" s="346"/>
    </row>
    <row r="151" spans="1:24" s="344" customFormat="1" ht="11.25" customHeight="1" x14ac:dyDescent="0.25">
      <c r="A151" s="347" t="s">
        <v>378</v>
      </c>
      <c r="B151" s="348" t="s">
        <v>1313</v>
      </c>
      <c r="C151" s="348" t="s">
        <v>309</v>
      </c>
      <c r="D151" s="348" t="s">
        <v>1365</v>
      </c>
      <c r="E151" s="348" t="s">
        <v>332</v>
      </c>
      <c r="F151" s="349" t="s">
        <v>466</v>
      </c>
      <c r="G151" s="498" t="s">
        <v>1311</v>
      </c>
      <c r="H151" s="679"/>
      <c r="I151" s="675"/>
      <c r="J151" s="675"/>
      <c r="K151" s="675"/>
      <c r="L151" s="676"/>
      <c r="M151" s="674"/>
      <c r="N151" s="357"/>
      <c r="O151" s="357"/>
      <c r="P151" s="357"/>
      <c r="Q151" s="357"/>
      <c r="R151" s="677"/>
      <c r="S151" s="678">
        <f t="shared" si="23"/>
        <v>0</v>
      </c>
      <c r="T151" s="678">
        <f t="shared" si="23"/>
        <v>0</v>
      </c>
      <c r="U151" s="678">
        <f t="shared" si="16"/>
        <v>0</v>
      </c>
      <c r="V151" s="678">
        <f t="shared" si="17"/>
        <v>0</v>
      </c>
      <c r="W151" s="678">
        <f t="shared" si="18"/>
        <v>0</v>
      </c>
      <c r="X151" s="346"/>
    </row>
    <row r="152" spans="1:24" s="344" customFormat="1" ht="11.25" customHeight="1" x14ac:dyDescent="0.25">
      <c r="A152" s="347" t="s">
        <v>378</v>
      </c>
      <c r="B152" s="348" t="s">
        <v>462</v>
      </c>
      <c r="C152" s="348" t="s">
        <v>309</v>
      </c>
      <c r="D152" s="348" t="s">
        <v>1366</v>
      </c>
      <c r="E152" s="348" t="s">
        <v>311</v>
      </c>
      <c r="F152" s="349" t="s">
        <v>464</v>
      </c>
      <c r="G152" s="500"/>
      <c r="H152" s="679">
        <v>0</v>
      </c>
      <c r="I152" s="675">
        <v>0</v>
      </c>
      <c r="J152" s="675">
        <v>30</v>
      </c>
      <c r="K152" s="675"/>
      <c r="L152" s="676">
        <v>0</v>
      </c>
      <c r="M152" s="674">
        <v>0</v>
      </c>
      <c r="N152" s="357">
        <v>0</v>
      </c>
      <c r="O152" s="357">
        <v>5</v>
      </c>
      <c r="P152" s="357">
        <v>0</v>
      </c>
      <c r="Q152" s="357">
        <v>0</v>
      </c>
      <c r="R152" s="677" t="s">
        <v>1632</v>
      </c>
      <c r="S152" s="678">
        <f t="shared" si="23"/>
        <v>0</v>
      </c>
      <c r="T152" s="678">
        <f t="shared" si="23"/>
        <v>0</v>
      </c>
      <c r="U152" s="678">
        <f t="shared" si="16"/>
        <v>25</v>
      </c>
      <c r="V152" s="678">
        <f t="shared" si="17"/>
        <v>0</v>
      </c>
      <c r="W152" s="678">
        <f t="shared" si="18"/>
        <v>0</v>
      </c>
      <c r="X152" s="346"/>
    </row>
    <row r="153" spans="1:24" s="344" customFormat="1" ht="11.25" customHeight="1" x14ac:dyDescent="0.25">
      <c r="A153" s="347" t="s">
        <v>378</v>
      </c>
      <c r="B153" s="348" t="s">
        <v>424</v>
      </c>
      <c r="C153" s="348" t="s">
        <v>309</v>
      </c>
      <c r="D153" s="348" t="s">
        <v>335</v>
      </c>
      <c r="E153" s="348" t="s">
        <v>334</v>
      </c>
      <c r="F153" s="349" t="s">
        <v>466</v>
      </c>
      <c r="G153" s="498" t="s">
        <v>1311</v>
      </c>
      <c r="H153" s="679">
        <v>10</v>
      </c>
      <c r="I153" s="675">
        <v>10</v>
      </c>
      <c r="J153" s="675">
        <v>10</v>
      </c>
      <c r="K153" s="675"/>
      <c r="L153" s="676"/>
      <c r="M153" s="674"/>
      <c r="N153" s="357"/>
      <c r="O153" s="357"/>
      <c r="P153" s="357"/>
      <c r="Q153" s="357"/>
      <c r="R153" s="677"/>
      <c r="S153" s="678">
        <f t="shared" si="23"/>
        <v>10</v>
      </c>
      <c r="T153" s="678">
        <f t="shared" si="23"/>
        <v>10</v>
      </c>
      <c r="U153" s="678">
        <f t="shared" si="16"/>
        <v>10</v>
      </c>
      <c r="V153" s="678">
        <f t="shared" si="17"/>
        <v>0</v>
      </c>
      <c r="W153" s="678">
        <f t="shared" si="18"/>
        <v>0</v>
      </c>
      <c r="X153" s="346" t="s">
        <v>1339</v>
      </c>
    </row>
    <row r="154" spans="1:24" s="344" customFormat="1" ht="11.25" customHeight="1" x14ac:dyDescent="0.25">
      <c r="A154" s="347" t="s">
        <v>378</v>
      </c>
      <c r="B154" s="348" t="s">
        <v>424</v>
      </c>
      <c r="C154" s="348" t="s">
        <v>309</v>
      </c>
      <c r="D154" s="348" t="s">
        <v>319</v>
      </c>
      <c r="E154" s="348" t="s">
        <v>318</v>
      </c>
      <c r="F154" s="349" t="s">
        <v>464</v>
      </c>
      <c r="G154" s="502"/>
      <c r="H154" s="679"/>
      <c r="I154" s="675"/>
      <c r="J154" s="675"/>
      <c r="K154" s="675">
        <v>20</v>
      </c>
      <c r="L154" s="676"/>
      <c r="M154" s="674"/>
      <c r="N154" s="357"/>
      <c r="O154" s="357"/>
      <c r="P154" s="357"/>
      <c r="Q154" s="357"/>
      <c r="R154" s="677"/>
      <c r="S154" s="678">
        <f t="shared" si="23"/>
        <v>0</v>
      </c>
      <c r="T154" s="678">
        <f t="shared" si="23"/>
        <v>0</v>
      </c>
      <c r="U154" s="678">
        <f t="shared" ref="U154:U171" si="28">J154-O154</f>
        <v>0</v>
      </c>
      <c r="V154" s="678">
        <f t="shared" ref="V154:V171" si="29">K154-P154</f>
        <v>20</v>
      </c>
      <c r="W154" s="678">
        <f t="shared" ref="W154:W171" si="30">L154-Q154</f>
        <v>0</v>
      </c>
      <c r="X154" s="346"/>
    </row>
    <row r="155" spans="1:24" s="344" customFormat="1" ht="11.25" customHeight="1" x14ac:dyDescent="0.25">
      <c r="A155" s="347" t="s">
        <v>378</v>
      </c>
      <c r="B155" s="348" t="s">
        <v>1313</v>
      </c>
      <c r="C155" s="348" t="s">
        <v>309</v>
      </c>
      <c r="D155" s="348" t="s">
        <v>1367</v>
      </c>
      <c r="E155" s="348" t="s">
        <v>320</v>
      </c>
      <c r="F155" s="349" t="s">
        <v>466</v>
      </c>
      <c r="G155" s="498" t="s">
        <v>1311</v>
      </c>
      <c r="H155" s="679">
        <v>279</v>
      </c>
      <c r="I155" s="675">
        <v>279</v>
      </c>
      <c r="J155" s="675"/>
      <c r="K155" s="675"/>
      <c r="L155" s="676"/>
      <c r="M155" s="674">
        <v>34</v>
      </c>
      <c r="N155" s="357">
        <v>34</v>
      </c>
      <c r="O155" s="357"/>
      <c r="P155" s="357"/>
      <c r="Q155" s="357"/>
      <c r="R155" s="677" t="s">
        <v>1829</v>
      </c>
      <c r="S155" s="678">
        <f t="shared" si="23"/>
        <v>245</v>
      </c>
      <c r="T155" s="678">
        <f t="shared" si="23"/>
        <v>245</v>
      </c>
      <c r="U155" s="678">
        <f t="shared" si="28"/>
        <v>0</v>
      </c>
      <c r="V155" s="678">
        <f t="shared" si="29"/>
        <v>0</v>
      </c>
      <c r="W155" s="678">
        <f t="shared" si="30"/>
        <v>0</v>
      </c>
      <c r="X155" s="346"/>
    </row>
    <row r="156" spans="1:24" s="344" customFormat="1" ht="11.25" customHeight="1" x14ac:dyDescent="0.25">
      <c r="A156" s="347" t="s">
        <v>378</v>
      </c>
      <c r="B156" s="348" t="s">
        <v>462</v>
      </c>
      <c r="C156" s="348" t="s">
        <v>309</v>
      </c>
      <c r="D156" s="348" t="s">
        <v>327</v>
      </c>
      <c r="E156" s="348" t="s">
        <v>326</v>
      </c>
      <c r="F156" s="349" t="s">
        <v>464</v>
      </c>
      <c r="G156" s="502"/>
      <c r="H156" s="679">
        <v>0</v>
      </c>
      <c r="I156" s="675">
        <v>0</v>
      </c>
      <c r="J156" s="675">
        <v>0</v>
      </c>
      <c r="K156" s="675">
        <v>30</v>
      </c>
      <c r="L156" s="676">
        <v>0</v>
      </c>
      <c r="M156" s="674">
        <v>0</v>
      </c>
      <c r="N156" s="357">
        <v>0</v>
      </c>
      <c r="O156" s="357">
        <v>0</v>
      </c>
      <c r="P156" s="357">
        <v>20</v>
      </c>
      <c r="Q156" s="357">
        <v>0</v>
      </c>
      <c r="R156" s="677" t="s">
        <v>1632</v>
      </c>
      <c r="S156" s="678">
        <f t="shared" si="23"/>
        <v>0</v>
      </c>
      <c r="T156" s="678">
        <f t="shared" si="23"/>
        <v>0</v>
      </c>
      <c r="U156" s="678">
        <f t="shared" si="28"/>
        <v>0</v>
      </c>
      <c r="V156" s="678">
        <f t="shared" si="29"/>
        <v>10</v>
      </c>
      <c r="W156" s="678">
        <f t="shared" si="30"/>
        <v>0</v>
      </c>
      <c r="X156" s="346"/>
    </row>
    <row r="157" spans="1:24" s="344" customFormat="1" ht="11.25" customHeight="1" x14ac:dyDescent="0.25">
      <c r="A157" s="347" t="s">
        <v>378</v>
      </c>
      <c r="B157" s="348" t="s">
        <v>1313</v>
      </c>
      <c r="C157" s="348" t="s">
        <v>309</v>
      </c>
      <c r="D157" s="348" t="s">
        <v>1368</v>
      </c>
      <c r="E157" s="348" t="s">
        <v>328</v>
      </c>
      <c r="F157" s="349" t="s">
        <v>464</v>
      </c>
      <c r="G157" s="498" t="s">
        <v>1311</v>
      </c>
      <c r="H157" s="679">
        <v>59</v>
      </c>
      <c r="I157" s="675">
        <v>59</v>
      </c>
      <c r="J157" s="675"/>
      <c r="K157" s="675"/>
      <c r="L157" s="676">
        <v>1</v>
      </c>
      <c r="M157" s="674"/>
      <c r="N157" s="357"/>
      <c r="O157" s="357"/>
      <c r="P157" s="357"/>
      <c r="Q157" s="357"/>
      <c r="R157" s="677"/>
      <c r="S157" s="678">
        <f t="shared" si="23"/>
        <v>59</v>
      </c>
      <c r="T157" s="678">
        <f t="shared" si="23"/>
        <v>59</v>
      </c>
      <c r="U157" s="678">
        <f t="shared" si="28"/>
        <v>0</v>
      </c>
      <c r="V157" s="678">
        <f t="shared" si="29"/>
        <v>0</v>
      </c>
      <c r="W157" s="678">
        <f t="shared" si="30"/>
        <v>1</v>
      </c>
      <c r="X157" s="346"/>
    </row>
    <row r="158" spans="1:24" s="344" customFormat="1" ht="11.25" customHeight="1" x14ac:dyDescent="0.25">
      <c r="A158" s="347" t="s">
        <v>378</v>
      </c>
      <c r="B158" s="348" t="s">
        <v>424</v>
      </c>
      <c r="C158" s="348" t="s">
        <v>309</v>
      </c>
      <c r="D158" s="348" t="s">
        <v>323</v>
      </c>
      <c r="E158" s="348" t="s">
        <v>322</v>
      </c>
      <c r="F158" s="349" t="s">
        <v>464</v>
      </c>
      <c r="G158" s="502" t="s">
        <v>1311</v>
      </c>
      <c r="H158" s="679">
        <v>50</v>
      </c>
      <c r="I158" s="675">
        <v>50</v>
      </c>
      <c r="J158" s="675">
        <v>20</v>
      </c>
      <c r="K158" s="675">
        <v>30</v>
      </c>
      <c r="L158" s="676"/>
      <c r="M158" s="674"/>
      <c r="N158" s="357"/>
      <c r="O158" s="357"/>
      <c r="P158" s="357"/>
      <c r="Q158" s="357"/>
      <c r="R158" s="677"/>
      <c r="S158" s="678">
        <f t="shared" si="23"/>
        <v>50</v>
      </c>
      <c r="T158" s="678">
        <f t="shared" si="23"/>
        <v>50</v>
      </c>
      <c r="U158" s="678">
        <f t="shared" si="28"/>
        <v>20</v>
      </c>
      <c r="V158" s="678">
        <f t="shared" si="29"/>
        <v>30</v>
      </c>
      <c r="W158" s="678">
        <f t="shared" si="30"/>
        <v>0</v>
      </c>
      <c r="X158" s="346"/>
    </row>
    <row r="159" spans="1:24" s="344" customFormat="1" ht="11.25" customHeight="1" x14ac:dyDescent="0.25">
      <c r="A159" s="347" t="s">
        <v>378</v>
      </c>
      <c r="B159" s="348" t="s">
        <v>424</v>
      </c>
      <c r="C159" s="348" t="s">
        <v>309</v>
      </c>
      <c r="D159" s="348" t="s">
        <v>325</v>
      </c>
      <c r="E159" s="348" t="s">
        <v>324</v>
      </c>
      <c r="F159" s="349" t="s">
        <v>464</v>
      </c>
      <c r="G159" s="498" t="s">
        <v>1311</v>
      </c>
      <c r="H159" s="679"/>
      <c r="I159" s="675"/>
      <c r="J159" s="675"/>
      <c r="K159" s="675">
        <v>20</v>
      </c>
      <c r="L159" s="676"/>
      <c r="M159" s="674"/>
      <c r="N159" s="357"/>
      <c r="O159" s="357"/>
      <c r="P159" s="357"/>
      <c r="Q159" s="357"/>
      <c r="R159" s="677"/>
      <c r="S159" s="678">
        <f t="shared" si="23"/>
        <v>0</v>
      </c>
      <c r="T159" s="678">
        <f t="shared" si="23"/>
        <v>0</v>
      </c>
      <c r="U159" s="678">
        <f t="shared" si="28"/>
        <v>0</v>
      </c>
      <c r="V159" s="678">
        <f t="shared" si="29"/>
        <v>20</v>
      </c>
      <c r="W159" s="678">
        <f t="shared" si="30"/>
        <v>0</v>
      </c>
      <c r="X159" s="346" t="s">
        <v>1339</v>
      </c>
    </row>
    <row r="160" spans="1:24" s="344" customFormat="1" ht="11.25" customHeight="1" x14ac:dyDescent="0.25">
      <c r="A160" s="347" t="s">
        <v>378</v>
      </c>
      <c r="B160" s="348" t="s">
        <v>462</v>
      </c>
      <c r="C160" s="348" t="s">
        <v>309</v>
      </c>
      <c r="D160" s="348" t="s">
        <v>342</v>
      </c>
      <c r="E160" s="348" t="s">
        <v>341</v>
      </c>
      <c r="F160" s="349" t="s">
        <v>464</v>
      </c>
      <c r="G160" s="502"/>
      <c r="H160" s="679">
        <v>5</v>
      </c>
      <c r="I160" s="675">
        <v>0</v>
      </c>
      <c r="J160" s="675">
        <v>0</v>
      </c>
      <c r="K160" s="675">
        <v>5</v>
      </c>
      <c r="L160" s="676">
        <v>0</v>
      </c>
      <c r="M160" s="674">
        <v>0</v>
      </c>
      <c r="N160" s="357">
        <v>0</v>
      </c>
      <c r="O160" s="357">
        <v>0</v>
      </c>
      <c r="P160" s="357">
        <v>0</v>
      </c>
      <c r="Q160" s="357">
        <v>0</v>
      </c>
      <c r="R160" s="677"/>
      <c r="S160" s="678">
        <f t="shared" si="23"/>
        <v>5</v>
      </c>
      <c r="T160" s="678">
        <f t="shared" si="23"/>
        <v>0</v>
      </c>
      <c r="U160" s="678">
        <f t="shared" si="28"/>
        <v>0</v>
      </c>
      <c r="V160" s="678">
        <f t="shared" si="29"/>
        <v>5</v>
      </c>
      <c r="W160" s="678">
        <f t="shared" si="30"/>
        <v>0</v>
      </c>
      <c r="X160" s="346"/>
    </row>
    <row r="161" spans="1:24" s="344" customFormat="1" ht="11.25" customHeight="1" x14ac:dyDescent="0.25">
      <c r="A161" s="347" t="s">
        <v>378</v>
      </c>
      <c r="B161" s="348" t="s">
        <v>424</v>
      </c>
      <c r="C161" s="348" t="s">
        <v>309</v>
      </c>
      <c r="D161" s="348" t="s">
        <v>1030</v>
      </c>
      <c r="E161" s="348" t="s">
        <v>343</v>
      </c>
      <c r="F161" s="349" t="s">
        <v>466</v>
      </c>
      <c r="G161" s="498" t="s">
        <v>1473</v>
      </c>
      <c r="H161" s="679">
        <v>46</v>
      </c>
      <c r="I161" s="675">
        <v>46</v>
      </c>
      <c r="J161" s="675"/>
      <c r="K161" s="675">
        <v>10</v>
      </c>
      <c r="L161" s="676"/>
      <c r="M161" s="674"/>
      <c r="N161" s="357"/>
      <c r="O161" s="357"/>
      <c r="P161" s="357"/>
      <c r="Q161" s="357"/>
      <c r="R161" s="677"/>
      <c r="S161" s="678">
        <f t="shared" si="23"/>
        <v>46</v>
      </c>
      <c r="T161" s="678">
        <f t="shared" si="23"/>
        <v>46</v>
      </c>
      <c r="U161" s="678">
        <f t="shared" si="28"/>
        <v>0</v>
      </c>
      <c r="V161" s="678">
        <f t="shared" si="29"/>
        <v>10</v>
      </c>
      <c r="W161" s="678">
        <f t="shared" si="30"/>
        <v>0</v>
      </c>
      <c r="X161" s="346" t="s">
        <v>1339</v>
      </c>
    </row>
    <row r="162" spans="1:24" s="344" customFormat="1" ht="11.25" customHeight="1" x14ac:dyDescent="0.25">
      <c r="A162" s="347" t="s">
        <v>378</v>
      </c>
      <c r="B162" s="348" t="s">
        <v>1313</v>
      </c>
      <c r="C162" s="348" t="s">
        <v>309</v>
      </c>
      <c r="D162" s="348" t="s">
        <v>1369</v>
      </c>
      <c r="E162" s="348" t="s">
        <v>352</v>
      </c>
      <c r="F162" s="363" t="s">
        <v>466</v>
      </c>
      <c r="G162" s="500"/>
      <c r="H162" s="679"/>
      <c r="I162" s="675"/>
      <c r="J162" s="675"/>
      <c r="K162" s="675"/>
      <c r="L162" s="676"/>
      <c r="M162" s="674"/>
      <c r="N162" s="357"/>
      <c r="O162" s="357"/>
      <c r="P162" s="357"/>
      <c r="Q162" s="357"/>
      <c r="R162" s="677"/>
      <c r="S162" s="678">
        <f t="shared" si="23"/>
        <v>0</v>
      </c>
      <c r="T162" s="678">
        <f t="shared" si="23"/>
        <v>0</v>
      </c>
      <c r="U162" s="678">
        <f t="shared" si="28"/>
        <v>0</v>
      </c>
      <c r="V162" s="678">
        <f t="shared" si="29"/>
        <v>0</v>
      </c>
      <c r="W162" s="678">
        <f t="shared" si="30"/>
        <v>0</v>
      </c>
      <c r="X162" s="346"/>
    </row>
    <row r="163" spans="1:24" s="344" customFormat="1" ht="11.25" customHeight="1" x14ac:dyDescent="0.25">
      <c r="A163" s="347" t="s">
        <v>378</v>
      </c>
      <c r="B163" s="348" t="s">
        <v>462</v>
      </c>
      <c r="C163" s="348" t="s">
        <v>309</v>
      </c>
      <c r="D163" s="348" t="s">
        <v>1370</v>
      </c>
      <c r="E163" s="348" t="s">
        <v>316</v>
      </c>
      <c r="F163" s="349" t="s">
        <v>464</v>
      </c>
      <c r="G163" s="498" t="s">
        <v>1311</v>
      </c>
      <c r="H163" s="679">
        <v>10</v>
      </c>
      <c r="I163" s="675">
        <v>10</v>
      </c>
      <c r="J163" s="675">
        <v>20</v>
      </c>
      <c r="K163" s="675">
        <v>26</v>
      </c>
      <c r="L163" s="676">
        <v>0</v>
      </c>
      <c r="M163" s="674"/>
      <c r="N163" s="357"/>
      <c r="O163" s="357">
        <v>0</v>
      </c>
      <c r="P163" s="357">
        <v>26</v>
      </c>
      <c r="Q163" s="357">
        <v>0</v>
      </c>
      <c r="R163" s="677" t="s">
        <v>1632</v>
      </c>
      <c r="S163" s="678">
        <f t="shared" si="23"/>
        <v>10</v>
      </c>
      <c r="T163" s="678">
        <f t="shared" si="23"/>
        <v>10</v>
      </c>
      <c r="U163" s="678">
        <f t="shared" si="28"/>
        <v>20</v>
      </c>
      <c r="V163" s="678">
        <f t="shared" si="29"/>
        <v>0</v>
      </c>
      <c r="W163" s="678">
        <f t="shared" si="30"/>
        <v>0</v>
      </c>
      <c r="X163" s="346"/>
    </row>
    <row r="164" spans="1:24" s="344" customFormat="1" ht="11.25" customHeight="1" x14ac:dyDescent="0.25">
      <c r="A164" s="347" t="s">
        <v>378</v>
      </c>
      <c r="B164" s="348" t="s">
        <v>424</v>
      </c>
      <c r="C164" s="348" t="s">
        <v>309</v>
      </c>
      <c r="D164" s="348" t="s">
        <v>1371</v>
      </c>
      <c r="E164" s="348" t="s">
        <v>339</v>
      </c>
      <c r="F164" s="349" t="s">
        <v>464</v>
      </c>
      <c r="G164" s="500" t="s">
        <v>1473</v>
      </c>
      <c r="H164" s="679">
        <v>20</v>
      </c>
      <c r="I164" s="675">
        <v>20</v>
      </c>
      <c r="J164" s="675"/>
      <c r="K164" s="675">
        <v>20</v>
      </c>
      <c r="L164" s="676"/>
      <c r="M164" s="674"/>
      <c r="N164" s="357"/>
      <c r="O164" s="357"/>
      <c r="P164" s="357"/>
      <c r="Q164" s="357"/>
      <c r="R164" s="677"/>
      <c r="S164" s="678">
        <f t="shared" si="23"/>
        <v>20</v>
      </c>
      <c r="T164" s="678">
        <f t="shared" si="23"/>
        <v>20</v>
      </c>
      <c r="U164" s="678">
        <f t="shared" si="28"/>
        <v>0</v>
      </c>
      <c r="V164" s="678">
        <f t="shared" si="29"/>
        <v>20</v>
      </c>
      <c r="W164" s="678">
        <f t="shared" si="30"/>
        <v>0</v>
      </c>
      <c r="X164" s="346"/>
    </row>
    <row r="165" spans="1:24" s="344" customFormat="1" ht="11.25" customHeight="1" x14ac:dyDescent="0.25">
      <c r="A165" s="347" t="s">
        <v>378</v>
      </c>
      <c r="B165" s="348" t="s">
        <v>462</v>
      </c>
      <c r="C165" s="348" t="s">
        <v>309</v>
      </c>
      <c r="D165" s="348" t="s">
        <v>1372</v>
      </c>
      <c r="E165" s="348" t="s">
        <v>336</v>
      </c>
      <c r="F165" s="349" t="s">
        <v>464</v>
      </c>
      <c r="G165" s="498"/>
      <c r="H165" s="679"/>
      <c r="I165" s="675"/>
      <c r="J165" s="675"/>
      <c r="K165" s="675">
        <v>10</v>
      </c>
      <c r="L165" s="676">
        <v>0</v>
      </c>
      <c r="M165" s="674">
        <v>0</v>
      </c>
      <c r="N165" s="357">
        <v>0</v>
      </c>
      <c r="O165" s="357"/>
      <c r="P165" s="357">
        <v>10</v>
      </c>
      <c r="Q165" s="357">
        <v>0</v>
      </c>
      <c r="R165" s="677" t="s">
        <v>1632</v>
      </c>
      <c r="S165" s="678">
        <f t="shared" si="23"/>
        <v>0</v>
      </c>
      <c r="T165" s="678">
        <f t="shared" si="23"/>
        <v>0</v>
      </c>
      <c r="U165" s="678">
        <f t="shared" si="28"/>
        <v>0</v>
      </c>
      <c r="V165" s="678">
        <f t="shared" si="29"/>
        <v>0</v>
      </c>
      <c r="W165" s="678">
        <f t="shared" si="30"/>
        <v>0</v>
      </c>
      <c r="X165" s="346"/>
    </row>
    <row r="166" spans="1:24" s="344" customFormat="1" ht="11.25" customHeight="1" x14ac:dyDescent="0.25">
      <c r="A166" s="347" t="s">
        <v>378</v>
      </c>
      <c r="B166" s="348" t="s">
        <v>462</v>
      </c>
      <c r="C166" s="348" t="s">
        <v>309</v>
      </c>
      <c r="D166" s="348" t="s">
        <v>1373</v>
      </c>
      <c r="E166" s="348" t="s">
        <v>348</v>
      </c>
      <c r="F166" s="349" t="s">
        <v>464</v>
      </c>
      <c r="G166" s="500"/>
      <c r="H166" s="679"/>
      <c r="I166" s="675"/>
      <c r="J166" s="675">
        <v>50</v>
      </c>
      <c r="K166" s="675"/>
      <c r="L166" s="676">
        <v>0</v>
      </c>
      <c r="M166" s="674">
        <v>0</v>
      </c>
      <c r="N166" s="357"/>
      <c r="O166" s="357"/>
      <c r="P166" s="357">
        <v>0</v>
      </c>
      <c r="Q166" s="357">
        <v>0</v>
      </c>
      <c r="R166" s="677"/>
      <c r="S166" s="678">
        <f t="shared" si="23"/>
        <v>0</v>
      </c>
      <c r="T166" s="678">
        <f t="shared" si="23"/>
        <v>0</v>
      </c>
      <c r="U166" s="678">
        <f t="shared" si="28"/>
        <v>50</v>
      </c>
      <c r="V166" s="678">
        <f t="shared" si="29"/>
        <v>0</v>
      </c>
      <c r="W166" s="678">
        <f t="shared" si="30"/>
        <v>0</v>
      </c>
      <c r="X166" s="346"/>
    </row>
    <row r="167" spans="1:24" s="344" customFormat="1" ht="11.25" customHeight="1" x14ac:dyDescent="0.25">
      <c r="A167" s="347" t="s">
        <v>378</v>
      </c>
      <c r="B167" s="348" t="s">
        <v>424</v>
      </c>
      <c r="C167" s="348" t="s">
        <v>309</v>
      </c>
      <c r="D167" s="348" t="s">
        <v>345</v>
      </c>
      <c r="E167" s="348" t="s">
        <v>344</v>
      </c>
      <c r="F167" s="349" t="s">
        <v>464</v>
      </c>
      <c r="G167" s="498" t="s">
        <v>1473</v>
      </c>
      <c r="H167" s="679">
        <v>20</v>
      </c>
      <c r="I167" s="675">
        <v>20</v>
      </c>
      <c r="J167" s="675"/>
      <c r="K167" s="675">
        <v>70</v>
      </c>
      <c r="L167" s="676">
        <v>0</v>
      </c>
      <c r="M167" s="674"/>
      <c r="N167" s="357"/>
      <c r="O167" s="357"/>
      <c r="P167" s="357"/>
      <c r="Q167" s="357"/>
      <c r="R167" s="677"/>
      <c r="S167" s="678">
        <f t="shared" si="23"/>
        <v>20</v>
      </c>
      <c r="T167" s="678">
        <f t="shared" si="23"/>
        <v>20</v>
      </c>
      <c r="U167" s="678">
        <f t="shared" si="28"/>
        <v>0</v>
      </c>
      <c r="V167" s="678">
        <f t="shared" si="29"/>
        <v>70</v>
      </c>
      <c r="W167" s="678">
        <f t="shared" si="30"/>
        <v>0</v>
      </c>
      <c r="X167" s="346" t="s">
        <v>1339</v>
      </c>
    </row>
    <row r="168" spans="1:24" s="344" customFormat="1" ht="11.25" customHeight="1" x14ac:dyDescent="0.25">
      <c r="A168" s="347" t="s">
        <v>378</v>
      </c>
      <c r="B168" s="348" t="s">
        <v>462</v>
      </c>
      <c r="C168" s="348" t="s">
        <v>309</v>
      </c>
      <c r="D168" s="348" t="s">
        <v>347</v>
      </c>
      <c r="E168" s="348" t="s">
        <v>346</v>
      </c>
      <c r="F168" s="349" t="s">
        <v>464</v>
      </c>
      <c r="G168" s="502"/>
      <c r="H168" s="679">
        <v>0</v>
      </c>
      <c r="I168" s="675">
        <v>10</v>
      </c>
      <c r="J168" s="675">
        <v>15</v>
      </c>
      <c r="K168" s="675">
        <v>10</v>
      </c>
      <c r="L168" s="676">
        <v>0</v>
      </c>
      <c r="M168" s="674">
        <v>0</v>
      </c>
      <c r="N168" s="357"/>
      <c r="O168" s="357"/>
      <c r="P168" s="357">
        <v>10</v>
      </c>
      <c r="Q168" s="357">
        <v>0</v>
      </c>
      <c r="R168" s="677" t="s">
        <v>1632</v>
      </c>
      <c r="S168" s="678">
        <f t="shared" si="23"/>
        <v>0</v>
      </c>
      <c r="T168" s="678">
        <f t="shared" si="23"/>
        <v>10</v>
      </c>
      <c r="U168" s="678">
        <f t="shared" si="28"/>
        <v>15</v>
      </c>
      <c r="V168" s="678">
        <f t="shared" si="29"/>
        <v>0</v>
      </c>
      <c r="W168" s="678">
        <f t="shared" si="30"/>
        <v>0</v>
      </c>
      <c r="X168" s="346"/>
    </row>
    <row r="169" spans="1:24" s="344" customFormat="1" ht="11.25" customHeight="1" x14ac:dyDescent="0.25">
      <c r="A169" s="347" t="s">
        <v>378</v>
      </c>
      <c r="B169" s="348" t="s">
        <v>462</v>
      </c>
      <c r="C169" s="348" t="s">
        <v>309</v>
      </c>
      <c r="D169" s="357" t="s">
        <v>1374</v>
      </c>
      <c r="E169" s="348" t="s">
        <v>314</v>
      </c>
      <c r="F169" s="349" t="s">
        <v>464</v>
      </c>
      <c r="G169" s="498"/>
      <c r="H169" s="679">
        <v>0</v>
      </c>
      <c r="I169" s="675">
        <v>0</v>
      </c>
      <c r="J169" s="675">
        <v>0</v>
      </c>
      <c r="K169" s="675">
        <v>20</v>
      </c>
      <c r="L169" s="676">
        <v>0</v>
      </c>
      <c r="M169" s="674">
        <v>0</v>
      </c>
      <c r="N169" s="357">
        <v>0</v>
      </c>
      <c r="O169" s="357">
        <v>0</v>
      </c>
      <c r="P169" s="357">
        <v>15</v>
      </c>
      <c r="Q169" s="357">
        <v>0</v>
      </c>
      <c r="R169" s="677" t="s">
        <v>1632</v>
      </c>
      <c r="S169" s="678">
        <f t="shared" si="23"/>
        <v>0</v>
      </c>
      <c r="T169" s="678">
        <f t="shared" si="23"/>
        <v>0</v>
      </c>
      <c r="U169" s="678">
        <f t="shared" si="28"/>
        <v>0</v>
      </c>
      <c r="V169" s="678">
        <f t="shared" si="29"/>
        <v>5</v>
      </c>
      <c r="W169" s="678">
        <f t="shared" si="30"/>
        <v>0</v>
      </c>
      <c r="X169" s="346"/>
    </row>
    <row r="170" spans="1:24" s="344" customFormat="1" ht="11.25" customHeight="1" x14ac:dyDescent="0.25">
      <c r="A170" s="347" t="s">
        <v>378</v>
      </c>
      <c r="B170" s="348" t="s">
        <v>424</v>
      </c>
      <c r="C170" s="348" t="s">
        <v>309</v>
      </c>
      <c r="D170" s="357" t="s">
        <v>1269</v>
      </c>
      <c r="E170" s="348" t="s">
        <v>1267</v>
      </c>
      <c r="F170" s="349" t="s">
        <v>466</v>
      </c>
      <c r="G170" s="498" t="s">
        <v>1311</v>
      </c>
      <c r="H170" s="679">
        <v>15</v>
      </c>
      <c r="I170" s="675">
        <v>15</v>
      </c>
      <c r="J170" s="675"/>
      <c r="K170" s="675"/>
      <c r="L170" s="676">
        <v>2</v>
      </c>
      <c r="M170" s="674">
        <v>0</v>
      </c>
      <c r="N170" s="357">
        <v>0</v>
      </c>
      <c r="O170" s="357">
        <v>0</v>
      </c>
      <c r="P170" s="357"/>
      <c r="Q170" s="357">
        <v>2</v>
      </c>
      <c r="R170" s="677" t="s">
        <v>1649</v>
      </c>
      <c r="S170" s="678">
        <f t="shared" si="23"/>
        <v>15</v>
      </c>
      <c r="T170" s="678">
        <f t="shared" si="23"/>
        <v>15</v>
      </c>
      <c r="U170" s="678">
        <f t="shared" si="28"/>
        <v>0</v>
      </c>
      <c r="V170" s="678">
        <f t="shared" si="29"/>
        <v>0</v>
      </c>
      <c r="W170" s="678">
        <f t="shared" si="30"/>
        <v>0</v>
      </c>
      <c r="X170" s="346" t="s">
        <v>1339</v>
      </c>
    </row>
    <row r="171" spans="1:24" s="344" customFormat="1" ht="11.25" customHeight="1" x14ac:dyDescent="0.25">
      <c r="A171" s="347" t="s">
        <v>378</v>
      </c>
      <c r="B171" s="348" t="s">
        <v>1313</v>
      </c>
      <c r="C171" s="348" t="s">
        <v>309</v>
      </c>
      <c r="D171" s="348" t="s">
        <v>1375</v>
      </c>
      <c r="E171" s="348" t="s">
        <v>350</v>
      </c>
      <c r="F171" s="363" t="s">
        <v>466</v>
      </c>
      <c r="G171" s="500"/>
      <c r="H171" s="679">
        <v>700</v>
      </c>
      <c r="I171" s="675">
        <v>700</v>
      </c>
      <c r="J171" s="675"/>
      <c r="K171" s="675"/>
      <c r="L171" s="676"/>
      <c r="M171" s="674">
        <v>48</v>
      </c>
      <c r="N171" s="357"/>
      <c r="O171" s="357">
        <v>40</v>
      </c>
      <c r="P171" s="357"/>
      <c r="Q171" s="357"/>
      <c r="R171" s="677" t="s">
        <v>1836</v>
      </c>
      <c r="S171" s="678">
        <f t="shared" si="23"/>
        <v>652</v>
      </c>
      <c r="T171" s="678">
        <f t="shared" si="23"/>
        <v>700</v>
      </c>
      <c r="U171" s="678">
        <f t="shared" si="28"/>
        <v>-40</v>
      </c>
      <c r="V171" s="678">
        <f t="shared" si="29"/>
        <v>0</v>
      </c>
      <c r="W171" s="678">
        <f t="shared" si="30"/>
        <v>0</v>
      </c>
      <c r="X171" s="346"/>
    </row>
    <row r="172" spans="1:24" s="344" customFormat="1" ht="11.25" customHeight="1" x14ac:dyDescent="0.25">
      <c r="A172" s="350" t="s">
        <v>3</v>
      </c>
      <c r="B172" s="351"/>
      <c r="C172" s="351"/>
      <c r="D172" s="352"/>
      <c r="E172" s="353"/>
      <c r="F172" s="354"/>
      <c r="G172" s="507"/>
      <c r="H172" s="355">
        <f>SUM(H151:H171)</f>
        <v>1214</v>
      </c>
      <c r="I172" s="353">
        <f>SUM(I151:I171)</f>
        <v>1219</v>
      </c>
      <c r="J172" s="353">
        <f t="shared" ref="J172:W172" si="31">SUM(J151:J171)</f>
        <v>145</v>
      </c>
      <c r="K172" s="353">
        <f t="shared" si="31"/>
        <v>271</v>
      </c>
      <c r="L172" s="353">
        <f t="shared" si="31"/>
        <v>3</v>
      </c>
      <c r="M172" s="353">
        <f t="shared" si="31"/>
        <v>82</v>
      </c>
      <c r="N172" s="353">
        <f t="shared" si="31"/>
        <v>34</v>
      </c>
      <c r="O172" s="353">
        <f t="shared" si="31"/>
        <v>45</v>
      </c>
      <c r="P172" s="353">
        <f t="shared" si="31"/>
        <v>81</v>
      </c>
      <c r="Q172" s="353">
        <f t="shared" si="31"/>
        <v>2</v>
      </c>
      <c r="R172" s="353">
        <f t="shared" si="31"/>
        <v>0</v>
      </c>
      <c r="S172" s="353">
        <f t="shared" si="31"/>
        <v>1132</v>
      </c>
      <c r="T172" s="353">
        <f t="shared" si="31"/>
        <v>1185</v>
      </c>
      <c r="U172" s="353">
        <f>SUM(U151:U171)</f>
        <v>100</v>
      </c>
      <c r="V172" s="353">
        <f t="shared" si="31"/>
        <v>190</v>
      </c>
      <c r="W172" s="353">
        <f t="shared" si="31"/>
        <v>1</v>
      </c>
      <c r="X172" s="346"/>
    </row>
    <row r="173" spans="1:24" s="344" customFormat="1" ht="11.25" customHeight="1" thickBot="1" x14ac:dyDescent="0.3">
      <c r="A173" s="368"/>
      <c r="B173" s="369"/>
      <c r="C173" s="369" t="s">
        <v>1376</v>
      </c>
      <c r="D173" s="369"/>
      <c r="E173" s="369"/>
      <c r="F173" s="370"/>
      <c r="G173" s="508"/>
      <c r="H173" s="687">
        <f t="shared" ref="H173:W173" si="32">H15+H21+H43+H45+H47+H61+H71+H75+H84+H87+H100+H104+H129+H136+H141+H144+H147+H150+H172</f>
        <v>4183</v>
      </c>
      <c r="I173" s="688">
        <f t="shared" si="32"/>
        <v>4319</v>
      </c>
      <c r="J173" s="688">
        <f t="shared" si="32"/>
        <v>1293</v>
      </c>
      <c r="K173" s="688">
        <f t="shared" si="32"/>
        <v>1437</v>
      </c>
      <c r="L173" s="688">
        <f t="shared" si="32"/>
        <v>13</v>
      </c>
      <c r="M173" s="688">
        <f t="shared" si="32"/>
        <v>1028</v>
      </c>
      <c r="N173" s="688">
        <f t="shared" si="32"/>
        <v>969</v>
      </c>
      <c r="O173" s="688">
        <f t="shared" si="32"/>
        <v>573</v>
      </c>
      <c r="P173" s="688">
        <f t="shared" si="32"/>
        <v>642</v>
      </c>
      <c r="Q173" s="688">
        <f t="shared" si="32"/>
        <v>2</v>
      </c>
      <c r="R173" s="688">
        <f t="shared" si="32"/>
        <v>0</v>
      </c>
      <c r="S173" s="688">
        <f t="shared" si="32"/>
        <v>3155</v>
      </c>
      <c r="T173" s="688">
        <f t="shared" si="32"/>
        <v>3350</v>
      </c>
      <c r="U173" s="688">
        <f t="shared" si="32"/>
        <v>720</v>
      </c>
      <c r="V173" s="688">
        <f t="shared" si="32"/>
        <v>795</v>
      </c>
      <c r="W173" s="688">
        <f t="shared" si="32"/>
        <v>11</v>
      </c>
      <c r="X173" s="371"/>
    </row>
  </sheetData>
  <autoFilter ref="A4:X173"/>
  <mergeCells count="11">
    <mergeCell ref="S2:W2"/>
    <mergeCell ref="A1:W1"/>
    <mergeCell ref="A2:A4"/>
    <mergeCell ref="B2:B4"/>
    <mergeCell ref="C2:C4"/>
    <mergeCell ref="D2:D4"/>
    <mergeCell ref="E2:E4"/>
    <mergeCell ref="F2:F4"/>
    <mergeCell ref="G2:G4"/>
    <mergeCell ref="H2:L2"/>
    <mergeCell ref="M2:R2"/>
  </mergeCells>
  <conditionalFormatting sqref="H1:W14 H173:W1048576">
    <cfRule type="cellIs" dxfId="889" priority="5" operator="greaterThan">
      <formula>0</formula>
    </cfRule>
  </conditionalFormatting>
  <conditionalFormatting sqref="R16">
    <cfRule type="cellIs" dxfId="888" priority="1" operator="greaterThan">
      <formula>0</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98"/>
  <sheetViews>
    <sheetView topLeftCell="I1" workbookViewId="0">
      <selection activeCell="H7" sqref="H7"/>
    </sheetView>
  </sheetViews>
  <sheetFormatPr defaultRowHeight="14.4" x14ac:dyDescent="0.3"/>
  <cols>
    <col min="1" max="1" width="13.88671875" customWidth="1"/>
    <col min="2" max="2" width="51.77734375" customWidth="1"/>
    <col min="3" max="3" width="56.5546875" bestFit="1" customWidth="1"/>
    <col min="4" max="4" width="13.88671875" customWidth="1"/>
    <col min="6" max="6" width="4.5546875" customWidth="1"/>
    <col min="7" max="7" width="56.6640625" bestFit="1" customWidth="1"/>
    <col min="8" max="8" width="16.109375" bestFit="1" customWidth="1"/>
    <col min="9" max="9" width="7" bestFit="1" customWidth="1"/>
    <col min="10" max="10" width="16.44140625" customWidth="1"/>
    <col min="13" max="13" width="16.109375" style="38" bestFit="1" customWidth="1"/>
    <col min="14" max="14" width="56.6640625" style="38" bestFit="1" customWidth="1"/>
    <col min="15" max="15" width="13.88671875" style="38" bestFit="1" customWidth="1"/>
    <col min="16" max="16" width="10.109375" style="38" bestFit="1" customWidth="1"/>
    <col min="17" max="17" width="12" bestFit="1" customWidth="1"/>
    <col min="21" max="21" width="15.33203125" customWidth="1"/>
    <col min="22" max="22" width="6.33203125" customWidth="1"/>
  </cols>
  <sheetData>
    <row r="1" spans="1:22" x14ac:dyDescent="0.3">
      <c r="A1" s="139" t="s">
        <v>458</v>
      </c>
      <c r="B1" s="323" t="s">
        <v>537</v>
      </c>
      <c r="M1" s="139" t="s">
        <v>458</v>
      </c>
      <c r="N1" s="323" t="s">
        <v>537</v>
      </c>
    </row>
    <row r="2" spans="1:22" x14ac:dyDescent="0.3">
      <c r="G2" s="37"/>
      <c r="U2" s="139" t="s">
        <v>458</v>
      </c>
      <c r="V2" s="323" t="s">
        <v>537</v>
      </c>
    </row>
    <row r="3" spans="1:22" x14ac:dyDescent="0.3">
      <c r="A3" s="139" t="s">
        <v>0</v>
      </c>
      <c r="B3" s="139" t="s">
        <v>507</v>
      </c>
      <c r="G3" s="139" t="s">
        <v>507</v>
      </c>
      <c r="H3" s="139" t="s">
        <v>833</v>
      </c>
      <c r="I3" s="139" t="s">
        <v>458</v>
      </c>
      <c r="J3" s="139" t="s">
        <v>782</v>
      </c>
      <c r="K3" t="s">
        <v>794</v>
      </c>
      <c r="M3" s="139" t="s">
        <v>833</v>
      </c>
      <c r="N3" s="139" t="s">
        <v>507</v>
      </c>
      <c r="O3" s="139" t="s">
        <v>0</v>
      </c>
      <c r="P3" s="323" t="s">
        <v>794</v>
      </c>
      <c r="Q3" s="323" t="s">
        <v>764</v>
      </c>
    </row>
    <row r="4" spans="1:22" x14ac:dyDescent="0.3">
      <c r="A4" s="323" t="s">
        <v>5</v>
      </c>
      <c r="B4" s="323" t="s">
        <v>6</v>
      </c>
      <c r="G4" s="323" t="s">
        <v>128</v>
      </c>
      <c r="H4" s="323" t="s">
        <v>127</v>
      </c>
      <c r="I4" s="323" t="s">
        <v>775</v>
      </c>
      <c r="J4" s="323" t="s">
        <v>1221</v>
      </c>
      <c r="K4" s="133">
        <v>0</v>
      </c>
      <c r="M4" s="323" t="s">
        <v>236</v>
      </c>
      <c r="N4" s="323" t="s">
        <v>238</v>
      </c>
      <c r="O4" s="323" t="s">
        <v>237</v>
      </c>
      <c r="P4" s="133">
        <v>73</v>
      </c>
      <c r="Q4" s="133">
        <v>406</v>
      </c>
      <c r="U4" s="139" t="s">
        <v>833</v>
      </c>
    </row>
    <row r="5" spans="1:22" x14ac:dyDescent="0.3">
      <c r="A5" s="323" t="s">
        <v>5</v>
      </c>
      <c r="B5" s="323" t="s">
        <v>465</v>
      </c>
      <c r="G5" s="323" t="s">
        <v>62</v>
      </c>
      <c r="H5" s="323" t="s">
        <v>61</v>
      </c>
      <c r="I5" s="323" t="s">
        <v>775</v>
      </c>
      <c r="J5" s="73">
        <v>41275</v>
      </c>
      <c r="K5" s="133"/>
      <c r="M5" s="323" t="s">
        <v>267</v>
      </c>
      <c r="N5" s="323" t="s">
        <v>268</v>
      </c>
      <c r="O5" s="323" t="s">
        <v>237</v>
      </c>
      <c r="P5" s="133">
        <v>67</v>
      </c>
      <c r="Q5" s="133">
        <v>296</v>
      </c>
      <c r="U5" s="323" t="s">
        <v>236</v>
      </c>
    </row>
    <row r="6" spans="1:22" x14ac:dyDescent="0.3">
      <c r="A6" s="323" t="s">
        <v>5</v>
      </c>
      <c r="B6" s="323" t="s">
        <v>10</v>
      </c>
      <c r="G6" s="323" t="s">
        <v>120</v>
      </c>
      <c r="H6" s="323" t="s">
        <v>119</v>
      </c>
      <c r="I6" s="323" t="s">
        <v>460</v>
      </c>
      <c r="J6" s="73">
        <v>41275</v>
      </c>
      <c r="K6" s="133">
        <v>64</v>
      </c>
      <c r="M6" s="323" t="s">
        <v>249</v>
      </c>
      <c r="N6" s="323" t="s">
        <v>250</v>
      </c>
      <c r="O6" s="323" t="s">
        <v>237</v>
      </c>
      <c r="P6" s="133">
        <v>32</v>
      </c>
      <c r="Q6" s="133">
        <v>174</v>
      </c>
      <c r="U6" s="323" t="s">
        <v>267</v>
      </c>
    </row>
    <row r="7" spans="1:22" x14ac:dyDescent="0.3">
      <c r="A7" s="323" t="s">
        <v>5</v>
      </c>
      <c r="B7" s="323" t="s">
        <v>12</v>
      </c>
      <c r="G7" s="323" t="s">
        <v>1155</v>
      </c>
      <c r="H7" s="323" t="s">
        <v>1161</v>
      </c>
      <c r="I7" s="323" t="s">
        <v>775</v>
      </c>
      <c r="J7" s="73">
        <v>42584</v>
      </c>
      <c r="K7" s="133"/>
      <c r="M7" s="323" t="s">
        <v>247</v>
      </c>
      <c r="N7" s="323" t="s">
        <v>248</v>
      </c>
      <c r="O7" s="323" t="s">
        <v>237</v>
      </c>
      <c r="P7" s="133">
        <v>7</v>
      </c>
      <c r="Q7" s="133">
        <v>31</v>
      </c>
      <c r="U7" s="323" t="s">
        <v>249</v>
      </c>
    </row>
    <row r="8" spans="1:22" x14ac:dyDescent="0.3">
      <c r="A8" s="323" t="s">
        <v>5</v>
      </c>
      <c r="B8" s="323" t="s">
        <v>14</v>
      </c>
      <c r="G8" s="323" t="s">
        <v>6</v>
      </c>
      <c r="H8" s="323" t="s">
        <v>4</v>
      </c>
      <c r="I8" s="323" t="s">
        <v>460</v>
      </c>
      <c r="J8" s="73">
        <v>40848</v>
      </c>
      <c r="K8" s="133">
        <v>257</v>
      </c>
      <c r="M8" s="323" t="s">
        <v>273</v>
      </c>
      <c r="N8" s="323" t="s">
        <v>274</v>
      </c>
      <c r="O8" s="323" t="s">
        <v>237</v>
      </c>
      <c r="P8" s="133">
        <v>46</v>
      </c>
      <c r="Q8" s="133">
        <v>241</v>
      </c>
      <c r="U8" s="323" t="s">
        <v>247</v>
      </c>
    </row>
    <row r="9" spans="1:22" x14ac:dyDescent="0.3">
      <c r="A9" s="323" t="s">
        <v>5</v>
      </c>
      <c r="B9" s="323" t="s">
        <v>16</v>
      </c>
      <c r="G9" s="323" t="s">
        <v>1543</v>
      </c>
      <c r="H9" s="323" t="s">
        <v>1566</v>
      </c>
      <c r="I9" s="323" t="s">
        <v>775</v>
      </c>
      <c r="J9" s="73">
        <v>42963</v>
      </c>
      <c r="K9" s="133">
        <v>25</v>
      </c>
      <c r="M9" s="323" t="s">
        <v>275</v>
      </c>
      <c r="N9" s="323" t="s">
        <v>276</v>
      </c>
      <c r="O9" s="323" t="s">
        <v>237</v>
      </c>
      <c r="P9" s="133">
        <v>118</v>
      </c>
      <c r="Q9" s="133">
        <v>569</v>
      </c>
      <c r="U9" s="323" t="s">
        <v>273</v>
      </c>
    </row>
    <row r="10" spans="1:22" x14ac:dyDescent="0.3">
      <c r="A10" s="323" t="s">
        <v>5</v>
      </c>
      <c r="B10" s="323" t="s">
        <v>18</v>
      </c>
      <c r="G10" s="323" t="s">
        <v>41</v>
      </c>
      <c r="H10" s="323" t="s">
        <v>40</v>
      </c>
      <c r="I10" s="323" t="s">
        <v>460</v>
      </c>
      <c r="J10" s="73">
        <v>41275</v>
      </c>
      <c r="K10" s="133">
        <v>65</v>
      </c>
      <c r="M10" s="323" t="s">
        <v>277</v>
      </c>
      <c r="N10" s="323" t="s">
        <v>278</v>
      </c>
      <c r="O10" s="323" t="s">
        <v>237</v>
      </c>
      <c r="P10" s="133">
        <v>23</v>
      </c>
      <c r="Q10" s="133">
        <v>114</v>
      </c>
      <c r="U10" s="323" t="s">
        <v>275</v>
      </c>
    </row>
    <row r="11" spans="1:22" x14ac:dyDescent="0.3">
      <c r="A11" s="323" t="s">
        <v>5</v>
      </c>
      <c r="B11" s="323" t="s">
        <v>8</v>
      </c>
      <c r="G11" s="323" t="s">
        <v>43</v>
      </c>
      <c r="H11" s="323" t="s">
        <v>42</v>
      </c>
      <c r="I11" s="323" t="s">
        <v>460</v>
      </c>
      <c r="J11" s="73">
        <v>41275</v>
      </c>
      <c r="K11" s="133">
        <v>14</v>
      </c>
      <c r="M11" s="323" t="s">
        <v>259</v>
      </c>
      <c r="N11" s="323" t="s">
        <v>260</v>
      </c>
      <c r="O11" s="323" t="s">
        <v>237</v>
      </c>
      <c r="P11" s="133">
        <v>103</v>
      </c>
      <c r="Q11" s="133">
        <v>586</v>
      </c>
      <c r="U11" s="323" t="s">
        <v>277</v>
      </c>
    </row>
    <row r="12" spans="1:22" x14ac:dyDescent="0.3">
      <c r="A12" s="323" t="s">
        <v>5</v>
      </c>
      <c r="B12" s="323" t="s">
        <v>20</v>
      </c>
      <c r="G12" s="323" t="s">
        <v>39</v>
      </c>
      <c r="H12" s="323" t="s">
        <v>38</v>
      </c>
      <c r="I12" s="323" t="s">
        <v>775</v>
      </c>
      <c r="J12" s="323" t="s">
        <v>1221</v>
      </c>
      <c r="K12" s="133"/>
      <c r="M12" s="323" t="s">
        <v>279</v>
      </c>
      <c r="N12" s="323" t="s">
        <v>280</v>
      </c>
      <c r="O12" s="323" t="s">
        <v>237</v>
      </c>
      <c r="P12" s="133">
        <v>91</v>
      </c>
      <c r="Q12" s="133">
        <v>511</v>
      </c>
      <c r="U12" s="323" t="s">
        <v>259</v>
      </c>
    </row>
    <row r="13" spans="1:22" x14ac:dyDescent="0.3">
      <c r="A13" s="323" t="s">
        <v>5</v>
      </c>
      <c r="B13" s="323" t="s">
        <v>364</v>
      </c>
      <c r="G13" s="323" t="s">
        <v>1211</v>
      </c>
      <c r="H13" s="323" t="s">
        <v>1179</v>
      </c>
      <c r="I13" s="323" t="s">
        <v>775</v>
      </c>
      <c r="J13" s="323" t="s">
        <v>1221</v>
      </c>
      <c r="K13" s="133"/>
      <c r="M13" s="323" t="s">
        <v>244</v>
      </c>
      <c r="N13" s="323" t="s">
        <v>1525</v>
      </c>
      <c r="O13" s="323" t="s">
        <v>237</v>
      </c>
      <c r="P13" s="133">
        <v>42</v>
      </c>
      <c r="Q13" s="133">
        <v>184</v>
      </c>
      <c r="U13" s="323" t="s">
        <v>279</v>
      </c>
    </row>
    <row r="14" spans="1:22" x14ac:dyDescent="0.3">
      <c r="A14" s="323" t="s">
        <v>5</v>
      </c>
      <c r="B14" s="323" t="s">
        <v>22</v>
      </c>
      <c r="G14" s="323" t="s">
        <v>465</v>
      </c>
      <c r="H14" s="323" t="s">
        <v>375</v>
      </c>
      <c r="I14" s="323" t="s">
        <v>460</v>
      </c>
      <c r="J14" s="73">
        <v>40787</v>
      </c>
      <c r="K14" s="133">
        <v>12</v>
      </c>
      <c r="M14" s="323" t="s">
        <v>255</v>
      </c>
      <c r="N14" s="323" t="s">
        <v>256</v>
      </c>
      <c r="O14" s="323" t="s">
        <v>237</v>
      </c>
      <c r="P14" s="133">
        <v>44</v>
      </c>
      <c r="Q14" s="133">
        <v>197</v>
      </c>
      <c r="U14" s="323" t="s">
        <v>244</v>
      </c>
    </row>
    <row r="15" spans="1:22" x14ac:dyDescent="0.3">
      <c r="A15" s="323" t="s">
        <v>5</v>
      </c>
      <c r="B15" s="323" t="s">
        <v>822</v>
      </c>
      <c r="G15" s="323" t="s">
        <v>48</v>
      </c>
      <c r="H15" s="323" t="s">
        <v>47</v>
      </c>
      <c r="I15" s="323" t="s">
        <v>775</v>
      </c>
      <c r="J15" s="323" t="s">
        <v>1221</v>
      </c>
      <c r="K15" s="133"/>
      <c r="M15" s="323" t="s">
        <v>283</v>
      </c>
      <c r="N15" s="323" t="s">
        <v>284</v>
      </c>
      <c r="O15" s="323" t="s">
        <v>237</v>
      </c>
      <c r="P15" s="133">
        <v>138</v>
      </c>
      <c r="Q15" s="133">
        <v>703</v>
      </c>
      <c r="U15" s="323" t="s">
        <v>255</v>
      </c>
    </row>
    <row r="16" spans="1:22" x14ac:dyDescent="0.3">
      <c r="A16" s="323" t="s">
        <v>5</v>
      </c>
      <c r="B16" s="323" t="s">
        <v>24</v>
      </c>
      <c r="G16" s="323" t="s">
        <v>50</v>
      </c>
      <c r="H16" s="323" t="s">
        <v>49</v>
      </c>
      <c r="I16" s="323" t="s">
        <v>775</v>
      </c>
      <c r="J16" s="323" t="s">
        <v>1221</v>
      </c>
      <c r="K16" s="133"/>
      <c r="M16" s="323" t="s">
        <v>239</v>
      </c>
      <c r="N16" s="323" t="s">
        <v>240</v>
      </c>
      <c r="O16" s="323" t="s">
        <v>237</v>
      </c>
      <c r="P16" s="133">
        <v>102</v>
      </c>
      <c r="Q16" s="133">
        <v>546</v>
      </c>
      <c r="U16" s="323" t="s">
        <v>283</v>
      </c>
    </row>
    <row r="17" spans="1:21" x14ac:dyDescent="0.3">
      <c r="A17" s="323" t="s">
        <v>5</v>
      </c>
      <c r="B17" s="323" t="s">
        <v>795</v>
      </c>
      <c r="G17" s="323" t="s">
        <v>1195</v>
      </c>
      <c r="H17" s="323" t="s">
        <v>1183</v>
      </c>
      <c r="I17" s="323" t="s">
        <v>775</v>
      </c>
      <c r="J17" s="323" t="s">
        <v>1221</v>
      </c>
      <c r="K17" s="133"/>
      <c r="M17" s="323" t="s">
        <v>257</v>
      </c>
      <c r="N17" s="323" t="s">
        <v>258</v>
      </c>
      <c r="O17" s="323" t="s">
        <v>237</v>
      </c>
      <c r="P17" s="133">
        <v>61</v>
      </c>
      <c r="Q17" s="133">
        <v>302</v>
      </c>
      <c r="U17" s="323" t="s">
        <v>239</v>
      </c>
    </row>
    <row r="18" spans="1:21" x14ac:dyDescent="0.3">
      <c r="A18" s="323" t="s">
        <v>5</v>
      </c>
      <c r="B18" s="323" t="s">
        <v>26</v>
      </c>
      <c r="G18" s="323" t="s">
        <v>1196</v>
      </c>
      <c r="H18" s="323" t="s">
        <v>1184</v>
      </c>
      <c r="I18" s="323" t="s">
        <v>775</v>
      </c>
      <c r="J18" s="323" t="s">
        <v>1221</v>
      </c>
      <c r="K18" s="133"/>
      <c r="M18" s="323" t="s">
        <v>265</v>
      </c>
      <c r="N18" s="323" t="s">
        <v>266</v>
      </c>
      <c r="O18" s="323" t="s">
        <v>237</v>
      </c>
      <c r="P18" s="133"/>
      <c r="Q18" s="133"/>
      <c r="U18" s="323" t="s">
        <v>257</v>
      </c>
    </row>
    <row r="19" spans="1:21" x14ac:dyDescent="0.3">
      <c r="A19" s="323" t="s">
        <v>5</v>
      </c>
      <c r="B19" s="323" t="s">
        <v>877</v>
      </c>
      <c r="G19" s="323" t="s">
        <v>808</v>
      </c>
      <c r="H19" s="323" t="s">
        <v>806</v>
      </c>
      <c r="I19" s="323" t="s">
        <v>775</v>
      </c>
      <c r="J19" s="323" t="s">
        <v>1221</v>
      </c>
      <c r="K19" s="133">
        <v>0</v>
      </c>
      <c r="M19" s="323" t="s">
        <v>251</v>
      </c>
      <c r="N19" s="323" t="s">
        <v>252</v>
      </c>
      <c r="O19" s="323" t="s">
        <v>237</v>
      </c>
      <c r="P19" s="133">
        <v>199</v>
      </c>
      <c r="Q19" s="133">
        <v>1118</v>
      </c>
      <c r="U19" s="323" t="s">
        <v>265</v>
      </c>
    </row>
    <row r="20" spans="1:21" x14ac:dyDescent="0.3">
      <c r="A20" s="323" t="s">
        <v>27</v>
      </c>
      <c r="B20" s="323" t="s">
        <v>28</v>
      </c>
      <c r="G20" s="323" t="s">
        <v>803</v>
      </c>
      <c r="H20" s="323" t="s">
        <v>807</v>
      </c>
      <c r="I20" s="323" t="s">
        <v>775</v>
      </c>
      <c r="J20" s="323" t="s">
        <v>1221</v>
      </c>
      <c r="K20" s="133">
        <v>0</v>
      </c>
      <c r="M20" s="323" t="s">
        <v>253</v>
      </c>
      <c r="N20" s="323" t="s">
        <v>254</v>
      </c>
      <c r="O20" s="323" t="s">
        <v>237</v>
      </c>
      <c r="P20" s="133">
        <v>115</v>
      </c>
      <c r="Q20" s="133">
        <v>562</v>
      </c>
      <c r="U20" s="323" t="s">
        <v>251</v>
      </c>
    </row>
    <row r="21" spans="1:21" x14ac:dyDescent="0.3">
      <c r="A21" s="323" t="s">
        <v>27</v>
      </c>
      <c r="B21" s="323" t="s">
        <v>32</v>
      </c>
      <c r="G21" s="323" t="s">
        <v>804</v>
      </c>
      <c r="H21" s="323" t="s">
        <v>805</v>
      </c>
      <c r="I21" s="323" t="s">
        <v>775</v>
      </c>
      <c r="J21" s="323" t="s">
        <v>1221</v>
      </c>
      <c r="K21" s="133">
        <v>0</v>
      </c>
      <c r="M21" s="323" t="s">
        <v>261</v>
      </c>
      <c r="N21" s="323" t="s">
        <v>262</v>
      </c>
      <c r="O21" s="323" t="s">
        <v>237</v>
      </c>
      <c r="P21" s="133">
        <v>24</v>
      </c>
      <c r="Q21" s="133">
        <v>97</v>
      </c>
      <c r="U21" s="323" t="s">
        <v>253</v>
      </c>
    </row>
    <row r="22" spans="1:21" x14ac:dyDescent="0.3">
      <c r="A22" s="323" t="s">
        <v>27</v>
      </c>
      <c r="B22" s="323" t="s">
        <v>362</v>
      </c>
      <c r="G22" s="323" t="s">
        <v>52</v>
      </c>
      <c r="H22" s="323" t="s">
        <v>51</v>
      </c>
      <c r="I22" s="323" t="s">
        <v>460</v>
      </c>
      <c r="J22" s="73">
        <v>41275</v>
      </c>
      <c r="K22" s="133">
        <v>36</v>
      </c>
      <c r="M22" s="323" t="s">
        <v>263</v>
      </c>
      <c r="N22" s="323" t="s">
        <v>264</v>
      </c>
      <c r="O22" s="323" t="s">
        <v>237</v>
      </c>
      <c r="P22" s="133">
        <v>14</v>
      </c>
      <c r="Q22" s="133">
        <v>76</v>
      </c>
      <c r="U22" s="323" t="s">
        <v>261</v>
      </c>
    </row>
    <row r="23" spans="1:21" x14ac:dyDescent="0.3">
      <c r="A23" s="323" t="s">
        <v>27</v>
      </c>
      <c r="B23" s="323" t="s">
        <v>34</v>
      </c>
      <c r="G23" s="323" t="s">
        <v>58</v>
      </c>
      <c r="H23" s="323" t="s">
        <v>57</v>
      </c>
      <c r="I23" s="323" t="s">
        <v>775</v>
      </c>
      <c r="J23" s="323" t="s">
        <v>1221</v>
      </c>
      <c r="K23" s="133"/>
      <c r="M23" s="323" t="s">
        <v>281</v>
      </c>
      <c r="N23" s="323" t="s">
        <v>282</v>
      </c>
      <c r="O23" s="323" t="s">
        <v>237</v>
      </c>
      <c r="P23" s="133">
        <v>7</v>
      </c>
      <c r="Q23" s="133">
        <v>37</v>
      </c>
      <c r="U23" s="323" t="s">
        <v>263</v>
      </c>
    </row>
    <row r="24" spans="1:21" x14ac:dyDescent="0.3">
      <c r="A24" s="323" t="s">
        <v>27</v>
      </c>
      <c r="B24" s="323" t="s">
        <v>363</v>
      </c>
      <c r="G24" s="323" t="s">
        <v>60</v>
      </c>
      <c r="H24" s="323" t="s">
        <v>59</v>
      </c>
      <c r="I24" s="323" t="s">
        <v>775</v>
      </c>
      <c r="J24" s="73">
        <v>41275</v>
      </c>
      <c r="K24" s="133"/>
      <c r="M24" s="323" t="s">
        <v>241</v>
      </c>
      <c r="N24" s="323" t="s">
        <v>1031</v>
      </c>
      <c r="O24" s="323" t="s">
        <v>237</v>
      </c>
      <c r="P24" s="133">
        <v>57</v>
      </c>
      <c r="Q24" s="133">
        <v>281</v>
      </c>
      <c r="U24" s="323" t="s">
        <v>281</v>
      </c>
    </row>
    <row r="25" spans="1:21" x14ac:dyDescent="0.3">
      <c r="A25" s="323" t="s">
        <v>27</v>
      </c>
      <c r="B25" s="323" t="s">
        <v>790</v>
      </c>
      <c r="G25" s="323" t="s">
        <v>356</v>
      </c>
      <c r="H25" s="323" t="s">
        <v>355</v>
      </c>
      <c r="I25" s="323" t="s">
        <v>775</v>
      </c>
      <c r="J25" s="323" t="s">
        <v>1221</v>
      </c>
      <c r="K25" s="133">
        <v>0</v>
      </c>
      <c r="M25" s="323" t="s">
        <v>269</v>
      </c>
      <c r="N25" s="323" t="s">
        <v>270</v>
      </c>
      <c r="O25" s="323" t="s">
        <v>237</v>
      </c>
      <c r="P25" s="133">
        <v>58</v>
      </c>
      <c r="Q25" s="133">
        <v>308</v>
      </c>
      <c r="U25" s="323" t="s">
        <v>241</v>
      </c>
    </row>
    <row r="26" spans="1:21" x14ac:dyDescent="0.3">
      <c r="A26" s="323" t="s">
        <v>27</v>
      </c>
      <c r="B26" s="323" t="s">
        <v>37</v>
      </c>
      <c r="G26" s="323" t="s">
        <v>333</v>
      </c>
      <c r="H26" s="323" t="s">
        <v>332</v>
      </c>
      <c r="I26" s="323" t="s">
        <v>460</v>
      </c>
      <c r="J26" s="73">
        <v>40848</v>
      </c>
      <c r="K26" s="133">
        <v>125</v>
      </c>
      <c r="M26" s="323" t="s">
        <v>339</v>
      </c>
      <c r="N26" s="323" t="s">
        <v>340</v>
      </c>
      <c r="O26" s="323" t="s">
        <v>309</v>
      </c>
      <c r="P26" s="133">
        <v>63</v>
      </c>
      <c r="Q26" s="133">
        <v>321</v>
      </c>
      <c r="U26" s="323" t="s">
        <v>269</v>
      </c>
    </row>
    <row r="27" spans="1:21" x14ac:dyDescent="0.3">
      <c r="A27" s="323" t="s">
        <v>27</v>
      </c>
      <c r="B27" s="323" t="s">
        <v>875</v>
      </c>
      <c r="G27" s="323" t="s">
        <v>188</v>
      </c>
      <c r="H27" s="323" t="s">
        <v>187</v>
      </c>
      <c r="I27" s="323" t="s">
        <v>460</v>
      </c>
      <c r="J27" s="73">
        <v>40817</v>
      </c>
      <c r="K27" s="133">
        <v>365</v>
      </c>
      <c r="M27" s="323" t="s">
        <v>348</v>
      </c>
      <c r="N27" s="323" t="s">
        <v>349</v>
      </c>
      <c r="O27" s="323" t="s">
        <v>309</v>
      </c>
      <c r="P27" s="133">
        <v>92</v>
      </c>
      <c r="Q27" s="133">
        <v>499</v>
      </c>
      <c r="U27" s="323" t="s">
        <v>339</v>
      </c>
    </row>
    <row r="28" spans="1:21" x14ac:dyDescent="0.3">
      <c r="A28" s="323" t="s">
        <v>480</v>
      </c>
      <c r="B28" s="323" t="s">
        <v>128</v>
      </c>
      <c r="G28" s="323" t="s">
        <v>888</v>
      </c>
      <c r="H28" s="323" t="s">
        <v>889</v>
      </c>
      <c r="I28" s="323" t="s">
        <v>775</v>
      </c>
      <c r="J28" s="73">
        <v>40817</v>
      </c>
      <c r="K28" s="133"/>
      <c r="M28" s="323" t="s">
        <v>318</v>
      </c>
      <c r="N28" s="323" t="s">
        <v>319</v>
      </c>
      <c r="O28" s="323" t="s">
        <v>309</v>
      </c>
      <c r="P28" s="133">
        <v>30</v>
      </c>
      <c r="Q28" s="133">
        <v>176</v>
      </c>
      <c r="U28" s="323" t="s">
        <v>348</v>
      </c>
    </row>
    <row r="29" spans="1:21" x14ac:dyDescent="0.3">
      <c r="A29" s="323" t="s">
        <v>480</v>
      </c>
      <c r="B29" s="323" t="s">
        <v>62</v>
      </c>
      <c r="G29" s="323" t="s">
        <v>72</v>
      </c>
      <c r="H29" s="323" t="s">
        <v>71</v>
      </c>
      <c r="I29" s="323" t="s">
        <v>460</v>
      </c>
      <c r="J29" s="73">
        <v>41487</v>
      </c>
      <c r="K29" s="133">
        <v>5</v>
      </c>
      <c r="M29" s="323" t="s">
        <v>311</v>
      </c>
      <c r="N29" s="323" t="s">
        <v>312</v>
      </c>
      <c r="O29" s="323" t="s">
        <v>309</v>
      </c>
      <c r="P29" s="133">
        <v>103</v>
      </c>
      <c r="Q29" s="133">
        <v>504</v>
      </c>
      <c r="U29" s="323" t="s">
        <v>318</v>
      </c>
    </row>
    <row r="30" spans="1:21" x14ac:dyDescent="0.3">
      <c r="A30" s="323" t="s">
        <v>480</v>
      </c>
      <c r="B30" s="323" t="s">
        <v>120</v>
      </c>
      <c r="G30" s="323" t="s">
        <v>70</v>
      </c>
      <c r="H30" s="323" t="s">
        <v>69</v>
      </c>
      <c r="I30" s="323" t="s">
        <v>775</v>
      </c>
      <c r="J30" s="323" t="s">
        <v>1221</v>
      </c>
      <c r="K30" s="133"/>
      <c r="M30" s="323" t="s">
        <v>328</v>
      </c>
      <c r="N30" s="323" t="s">
        <v>329</v>
      </c>
      <c r="O30" s="323" t="s">
        <v>309</v>
      </c>
      <c r="P30" s="133">
        <v>285</v>
      </c>
      <c r="Q30" s="133">
        <v>1508</v>
      </c>
      <c r="U30" s="323" t="s">
        <v>311</v>
      </c>
    </row>
    <row r="31" spans="1:21" x14ac:dyDescent="0.3">
      <c r="A31" s="323" t="s">
        <v>480</v>
      </c>
      <c r="B31" s="323" t="s">
        <v>41</v>
      </c>
      <c r="G31" s="323" t="s">
        <v>28</v>
      </c>
      <c r="H31" s="323" t="s">
        <v>30</v>
      </c>
      <c r="I31" s="323" t="s">
        <v>460</v>
      </c>
      <c r="J31" s="73">
        <v>41244</v>
      </c>
      <c r="K31" s="133">
        <v>107</v>
      </c>
      <c r="M31" s="323" t="s">
        <v>336</v>
      </c>
      <c r="N31" s="323" t="s">
        <v>337</v>
      </c>
      <c r="O31" s="323" t="s">
        <v>309</v>
      </c>
      <c r="P31" s="133">
        <v>29</v>
      </c>
      <c r="Q31" s="133">
        <v>160</v>
      </c>
      <c r="U31" s="323" t="s">
        <v>328</v>
      </c>
    </row>
    <row r="32" spans="1:21" x14ac:dyDescent="0.3">
      <c r="A32" s="323" t="s">
        <v>480</v>
      </c>
      <c r="B32" s="323" t="s">
        <v>43</v>
      </c>
      <c r="G32" s="323" t="s">
        <v>10</v>
      </c>
      <c r="H32" s="323" t="s">
        <v>9</v>
      </c>
      <c r="I32" s="323" t="s">
        <v>775</v>
      </c>
      <c r="J32" s="323" t="s">
        <v>1221</v>
      </c>
      <c r="K32" s="133">
        <v>0</v>
      </c>
      <c r="M32" s="323" t="s">
        <v>326</v>
      </c>
      <c r="N32" s="323" t="s">
        <v>327</v>
      </c>
      <c r="O32" s="323" t="s">
        <v>309</v>
      </c>
      <c r="P32" s="133">
        <v>339</v>
      </c>
      <c r="Q32" s="133">
        <v>1975</v>
      </c>
      <c r="U32" s="323" t="s">
        <v>336</v>
      </c>
    </row>
    <row r="33" spans="1:21" x14ac:dyDescent="0.3">
      <c r="A33" s="323" t="s">
        <v>480</v>
      </c>
      <c r="B33" s="323" t="s">
        <v>39</v>
      </c>
      <c r="G33" s="323" t="s">
        <v>1080</v>
      </c>
      <c r="H33" s="323" t="s">
        <v>1081</v>
      </c>
      <c r="I33" s="323" t="s">
        <v>775</v>
      </c>
      <c r="J33" s="323" t="s">
        <v>1221</v>
      </c>
      <c r="K33" s="133"/>
      <c r="M33" s="323" t="s">
        <v>316</v>
      </c>
      <c r="N33" s="323" t="s">
        <v>317</v>
      </c>
      <c r="O33" s="323" t="s">
        <v>309</v>
      </c>
      <c r="P33" s="133">
        <v>119</v>
      </c>
      <c r="Q33" s="133">
        <v>483</v>
      </c>
      <c r="U33" s="323" t="s">
        <v>326</v>
      </c>
    </row>
    <row r="34" spans="1:21" x14ac:dyDescent="0.3">
      <c r="A34" s="323" t="s">
        <v>480</v>
      </c>
      <c r="B34" s="323" t="s">
        <v>48</v>
      </c>
      <c r="G34" s="323" t="s">
        <v>76</v>
      </c>
      <c r="H34" s="323" t="s">
        <v>75</v>
      </c>
      <c r="I34" s="323" t="s">
        <v>460</v>
      </c>
      <c r="J34" s="73">
        <v>41275</v>
      </c>
      <c r="K34" s="133">
        <v>70</v>
      </c>
      <c r="M34" s="323" t="s">
        <v>341</v>
      </c>
      <c r="N34" s="323" t="s">
        <v>342</v>
      </c>
      <c r="O34" s="323" t="s">
        <v>309</v>
      </c>
      <c r="P34" s="133">
        <v>20</v>
      </c>
      <c r="Q34" s="133">
        <v>86</v>
      </c>
      <c r="U34" s="323" t="s">
        <v>316</v>
      </c>
    </row>
    <row r="35" spans="1:21" x14ac:dyDescent="0.3">
      <c r="A35" s="323" t="s">
        <v>480</v>
      </c>
      <c r="B35" s="323" t="s">
        <v>50</v>
      </c>
      <c r="G35" s="323" t="s">
        <v>1525</v>
      </c>
      <c r="H35" s="323" t="s">
        <v>244</v>
      </c>
      <c r="I35" s="323" t="s">
        <v>460</v>
      </c>
      <c r="J35" s="73">
        <v>40695</v>
      </c>
      <c r="K35" s="133">
        <v>42</v>
      </c>
      <c r="M35" s="323" t="s">
        <v>358</v>
      </c>
      <c r="N35" s="323" t="s">
        <v>1034</v>
      </c>
      <c r="O35" s="323" t="s">
        <v>309</v>
      </c>
      <c r="P35" s="133"/>
      <c r="Q35" s="133"/>
      <c r="U35" s="323" t="s">
        <v>341</v>
      </c>
    </row>
    <row r="36" spans="1:21" x14ac:dyDescent="0.3">
      <c r="A36" s="323" t="s">
        <v>480</v>
      </c>
      <c r="B36" s="323" t="s">
        <v>52</v>
      </c>
      <c r="G36" s="323" t="s">
        <v>192</v>
      </c>
      <c r="H36" s="323" t="s">
        <v>191</v>
      </c>
      <c r="I36" s="323" t="s">
        <v>460</v>
      </c>
      <c r="J36" s="73">
        <v>40756</v>
      </c>
      <c r="K36" s="133">
        <v>93</v>
      </c>
      <c r="M36" s="323" t="s">
        <v>357</v>
      </c>
      <c r="N36" s="323" t="s">
        <v>1033</v>
      </c>
      <c r="O36" s="323" t="s">
        <v>309</v>
      </c>
      <c r="P36" s="133"/>
      <c r="Q36" s="133"/>
      <c r="U36" s="323" t="s">
        <v>358</v>
      </c>
    </row>
    <row r="37" spans="1:21" x14ac:dyDescent="0.3">
      <c r="A37" s="323" t="s">
        <v>480</v>
      </c>
      <c r="B37" s="323" t="s">
        <v>58</v>
      </c>
      <c r="G37" s="323" t="s">
        <v>78</v>
      </c>
      <c r="H37" s="323" t="s">
        <v>77</v>
      </c>
      <c r="I37" s="323" t="s">
        <v>775</v>
      </c>
      <c r="J37" s="323" t="s">
        <v>1221</v>
      </c>
      <c r="K37" s="133"/>
      <c r="M37" s="323" t="s">
        <v>308</v>
      </c>
      <c r="N37" s="323" t="s">
        <v>310</v>
      </c>
      <c r="O37" s="323" t="s">
        <v>309</v>
      </c>
      <c r="P37" s="133"/>
      <c r="Q37" s="133"/>
      <c r="U37" s="323" t="s">
        <v>357</v>
      </c>
    </row>
    <row r="38" spans="1:21" x14ac:dyDescent="0.3">
      <c r="A38" s="323" t="s">
        <v>480</v>
      </c>
      <c r="B38" s="323" t="s">
        <v>60</v>
      </c>
      <c r="G38" s="323" t="s">
        <v>1856</v>
      </c>
      <c r="H38" s="323" t="s">
        <v>1842</v>
      </c>
      <c r="I38" s="323" t="s">
        <v>460</v>
      </c>
      <c r="J38" s="73">
        <v>42847</v>
      </c>
      <c r="K38" s="133">
        <v>33</v>
      </c>
      <c r="M38" s="323" t="s">
        <v>346</v>
      </c>
      <c r="N38" s="323" t="s">
        <v>347</v>
      </c>
      <c r="O38" s="323" t="s">
        <v>309</v>
      </c>
      <c r="P38" s="133">
        <v>46</v>
      </c>
      <c r="Q38" s="133">
        <v>192</v>
      </c>
      <c r="U38" s="323" t="s">
        <v>308</v>
      </c>
    </row>
    <row r="39" spans="1:21" x14ac:dyDescent="0.3">
      <c r="A39" s="323" t="s">
        <v>480</v>
      </c>
      <c r="B39" s="323" t="s">
        <v>72</v>
      </c>
      <c r="G39" s="323" t="s">
        <v>82</v>
      </c>
      <c r="H39" s="323" t="s">
        <v>81</v>
      </c>
      <c r="I39" s="323" t="s">
        <v>775</v>
      </c>
      <c r="J39" s="323" t="s">
        <v>1221</v>
      </c>
      <c r="K39" s="133"/>
      <c r="M39" s="323" t="s">
        <v>314</v>
      </c>
      <c r="N39" s="323" t="s">
        <v>315</v>
      </c>
      <c r="O39" s="323" t="s">
        <v>309</v>
      </c>
      <c r="P39" s="133">
        <v>69</v>
      </c>
      <c r="Q39" s="133">
        <v>290</v>
      </c>
      <c r="U39" s="323" t="s">
        <v>346</v>
      </c>
    </row>
    <row r="40" spans="1:21" x14ac:dyDescent="0.3">
      <c r="A40" s="323" t="s">
        <v>480</v>
      </c>
      <c r="B40" s="323" t="s">
        <v>70</v>
      </c>
      <c r="G40" s="323" t="s">
        <v>837</v>
      </c>
      <c r="H40" s="323" t="s">
        <v>838</v>
      </c>
      <c r="I40" s="323" t="s">
        <v>775</v>
      </c>
      <c r="J40" s="323" t="s">
        <v>1221</v>
      </c>
      <c r="K40" s="133">
        <v>0</v>
      </c>
      <c r="M40" s="323" t="s">
        <v>324</v>
      </c>
      <c r="N40" s="323" t="s">
        <v>325</v>
      </c>
      <c r="O40" s="323" t="s">
        <v>309</v>
      </c>
      <c r="P40" s="133">
        <v>47</v>
      </c>
      <c r="Q40" s="133">
        <v>208</v>
      </c>
      <c r="U40" s="323" t="s">
        <v>314</v>
      </c>
    </row>
    <row r="41" spans="1:21" x14ac:dyDescent="0.3">
      <c r="A41" s="323" t="s">
        <v>480</v>
      </c>
      <c r="B41" s="323" t="s">
        <v>76</v>
      </c>
      <c r="G41" s="323" t="s">
        <v>839</v>
      </c>
      <c r="H41" s="323" t="s">
        <v>840</v>
      </c>
      <c r="I41" s="323" t="s">
        <v>775</v>
      </c>
      <c r="J41" s="323" t="s">
        <v>1221</v>
      </c>
      <c r="K41" s="133">
        <v>0</v>
      </c>
      <c r="M41" s="323" t="s">
        <v>322</v>
      </c>
      <c r="N41" s="323" t="s">
        <v>323</v>
      </c>
      <c r="O41" s="323" t="s">
        <v>309</v>
      </c>
      <c r="P41" s="133">
        <v>510</v>
      </c>
      <c r="Q41" s="133">
        <v>2680</v>
      </c>
      <c r="U41" s="323" t="s">
        <v>324</v>
      </c>
    </row>
    <row r="42" spans="1:21" x14ac:dyDescent="0.3">
      <c r="A42" s="323" t="s">
        <v>480</v>
      </c>
      <c r="B42" s="323" t="s">
        <v>78</v>
      </c>
      <c r="G42" s="323" t="s">
        <v>32</v>
      </c>
      <c r="H42" s="323" t="s">
        <v>31</v>
      </c>
      <c r="I42" s="323" t="s">
        <v>775</v>
      </c>
      <c r="J42" s="323" t="s">
        <v>1221</v>
      </c>
      <c r="K42" s="133"/>
      <c r="M42" s="323" t="s">
        <v>344</v>
      </c>
      <c r="N42" s="323" t="s">
        <v>345</v>
      </c>
      <c r="O42" s="323" t="s">
        <v>309</v>
      </c>
      <c r="P42" s="133">
        <v>181</v>
      </c>
      <c r="Q42" s="133">
        <v>1001</v>
      </c>
      <c r="U42" s="323" t="s">
        <v>322</v>
      </c>
    </row>
    <row r="43" spans="1:21" x14ac:dyDescent="0.3">
      <c r="A43" s="323" t="s">
        <v>480</v>
      </c>
      <c r="B43" s="323" t="s">
        <v>82</v>
      </c>
      <c r="G43" s="323" t="s">
        <v>1194</v>
      </c>
      <c r="H43" s="323" t="s">
        <v>1182</v>
      </c>
      <c r="I43" s="323" t="s">
        <v>775</v>
      </c>
      <c r="J43" s="323" t="s">
        <v>1221</v>
      </c>
      <c r="K43" s="133"/>
      <c r="M43" s="323" t="s">
        <v>30</v>
      </c>
      <c r="N43" s="323" t="s">
        <v>28</v>
      </c>
      <c r="O43" s="323" t="s">
        <v>27</v>
      </c>
      <c r="P43" s="133">
        <v>107</v>
      </c>
      <c r="Q43" s="133">
        <v>559</v>
      </c>
      <c r="U43" s="323" t="s">
        <v>344</v>
      </c>
    </row>
    <row r="44" spans="1:21" x14ac:dyDescent="0.3">
      <c r="A44" s="323" t="s">
        <v>480</v>
      </c>
      <c r="B44" s="323" t="s">
        <v>88</v>
      </c>
      <c r="G44" s="323" t="s">
        <v>1258</v>
      </c>
      <c r="H44" s="323" t="s">
        <v>1255</v>
      </c>
      <c r="I44" s="323" t="s">
        <v>460</v>
      </c>
      <c r="J44" s="323" t="s">
        <v>1221</v>
      </c>
      <c r="K44" s="133">
        <v>62</v>
      </c>
      <c r="M44" s="323" t="s">
        <v>29</v>
      </c>
      <c r="N44" s="323" t="s">
        <v>362</v>
      </c>
      <c r="O44" s="323" t="s">
        <v>27</v>
      </c>
      <c r="P44" s="133">
        <v>160</v>
      </c>
      <c r="Q44" s="133">
        <v>830</v>
      </c>
      <c r="U44" s="323" t="s">
        <v>30</v>
      </c>
    </row>
    <row r="45" spans="1:21" x14ac:dyDescent="0.3">
      <c r="A45" s="323" t="s">
        <v>480</v>
      </c>
      <c r="B45" s="323" t="s">
        <v>44</v>
      </c>
      <c r="G45" s="323" t="s">
        <v>312</v>
      </c>
      <c r="H45" s="323" t="s">
        <v>311</v>
      </c>
      <c r="I45" s="323" t="s">
        <v>460</v>
      </c>
      <c r="J45" s="73">
        <v>40695</v>
      </c>
      <c r="K45" s="133">
        <v>103</v>
      </c>
      <c r="M45" s="323" t="s">
        <v>36</v>
      </c>
      <c r="N45" s="323" t="s">
        <v>37</v>
      </c>
      <c r="O45" s="323" t="s">
        <v>27</v>
      </c>
      <c r="P45" s="133"/>
      <c r="Q45" s="133"/>
      <c r="U45" s="323" t="s">
        <v>29</v>
      </c>
    </row>
    <row r="46" spans="1:21" x14ac:dyDescent="0.3">
      <c r="A46" s="323" t="s">
        <v>480</v>
      </c>
      <c r="B46" s="323" t="s">
        <v>56</v>
      </c>
      <c r="G46" s="323" t="s">
        <v>335</v>
      </c>
      <c r="H46" s="323" t="s">
        <v>334</v>
      </c>
      <c r="I46" s="323" t="s">
        <v>460</v>
      </c>
      <c r="J46" s="73">
        <v>40878</v>
      </c>
      <c r="K46" s="133">
        <v>154</v>
      </c>
      <c r="M46" s="323" t="s">
        <v>33</v>
      </c>
      <c r="N46" s="323" t="s">
        <v>34</v>
      </c>
      <c r="O46" s="323" t="s">
        <v>27</v>
      </c>
      <c r="P46" s="133"/>
      <c r="Q46" s="133"/>
      <c r="U46" s="323" t="s">
        <v>36</v>
      </c>
    </row>
    <row r="47" spans="1:21" x14ac:dyDescent="0.3">
      <c r="A47" s="323" t="s">
        <v>480</v>
      </c>
      <c r="B47" s="323" t="s">
        <v>90</v>
      </c>
      <c r="G47" s="323" t="s">
        <v>88</v>
      </c>
      <c r="H47" s="323" t="s">
        <v>87</v>
      </c>
      <c r="I47" s="323" t="s">
        <v>460</v>
      </c>
      <c r="J47" s="73">
        <v>41183</v>
      </c>
      <c r="K47" s="133">
        <v>13</v>
      </c>
      <c r="M47" s="323" t="s">
        <v>31</v>
      </c>
      <c r="N47" s="323" t="s">
        <v>32</v>
      </c>
      <c r="O47" s="323" t="s">
        <v>27</v>
      </c>
      <c r="P47" s="133"/>
      <c r="Q47" s="133"/>
      <c r="U47" s="323" t="s">
        <v>33</v>
      </c>
    </row>
    <row r="48" spans="1:21" x14ac:dyDescent="0.3">
      <c r="A48" s="323" t="s">
        <v>480</v>
      </c>
      <c r="B48" s="323" t="s">
        <v>92</v>
      </c>
      <c r="G48" s="323" t="s">
        <v>44</v>
      </c>
      <c r="H48" s="323" t="s">
        <v>45</v>
      </c>
      <c r="I48" s="323" t="s">
        <v>460</v>
      </c>
      <c r="J48" s="73">
        <v>41122</v>
      </c>
      <c r="K48" s="133">
        <v>4</v>
      </c>
      <c r="M48" s="323" t="s">
        <v>21</v>
      </c>
      <c r="N48" s="323" t="s">
        <v>22</v>
      </c>
      <c r="O48" s="323" t="s">
        <v>5</v>
      </c>
      <c r="P48" s="133">
        <v>641</v>
      </c>
      <c r="Q48" s="133">
        <v>4010</v>
      </c>
      <c r="U48" s="323" t="s">
        <v>31</v>
      </c>
    </row>
    <row r="49" spans="1:21" x14ac:dyDescent="0.3">
      <c r="A49" s="323" t="s">
        <v>480</v>
      </c>
      <c r="B49" s="323" t="s">
        <v>94</v>
      </c>
      <c r="G49" s="323" t="s">
        <v>56</v>
      </c>
      <c r="H49" s="323" t="s">
        <v>55</v>
      </c>
      <c r="I49" s="323" t="s">
        <v>775</v>
      </c>
      <c r="J49" s="323" t="s">
        <v>1221</v>
      </c>
      <c r="K49" s="133">
        <v>0</v>
      </c>
      <c r="M49" s="323" t="s">
        <v>15</v>
      </c>
      <c r="N49" s="323" t="s">
        <v>16</v>
      </c>
      <c r="O49" s="323" t="s">
        <v>5</v>
      </c>
      <c r="P49" s="133"/>
      <c r="Q49" s="133"/>
      <c r="U49" s="323" t="s">
        <v>21</v>
      </c>
    </row>
    <row r="50" spans="1:21" x14ac:dyDescent="0.3">
      <c r="A50" s="323" t="s">
        <v>480</v>
      </c>
      <c r="B50" s="323" t="s">
        <v>54</v>
      </c>
      <c r="G50" s="323" t="s">
        <v>984</v>
      </c>
      <c r="H50" s="323" t="s">
        <v>986</v>
      </c>
      <c r="I50" s="323" t="s">
        <v>460</v>
      </c>
      <c r="J50" s="73">
        <v>41275</v>
      </c>
      <c r="K50" s="133">
        <v>27</v>
      </c>
      <c r="M50" s="323" t="s">
        <v>17</v>
      </c>
      <c r="N50" s="323" t="s">
        <v>18</v>
      </c>
      <c r="O50" s="323" t="s">
        <v>5</v>
      </c>
      <c r="P50" s="133">
        <v>129</v>
      </c>
      <c r="Q50" s="133">
        <v>742</v>
      </c>
      <c r="U50" s="323" t="s">
        <v>15</v>
      </c>
    </row>
    <row r="51" spans="1:21" x14ac:dyDescent="0.3">
      <c r="A51" s="323" t="s">
        <v>480</v>
      </c>
      <c r="B51" s="323" t="s">
        <v>66</v>
      </c>
      <c r="G51" s="323" t="s">
        <v>12</v>
      </c>
      <c r="H51" s="323" t="s">
        <v>11</v>
      </c>
      <c r="I51" s="323" t="s">
        <v>460</v>
      </c>
      <c r="J51" s="323" t="s">
        <v>1221</v>
      </c>
      <c r="K51" s="133">
        <v>190</v>
      </c>
      <c r="M51" s="323" t="s">
        <v>4</v>
      </c>
      <c r="N51" s="323" t="s">
        <v>6</v>
      </c>
      <c r="O51" s="323" t="s">
        <v>5</v>
      </c>
      <c r="P51" s="133">
        <v>257</v>
      </c>
      <c r="Q51" s="133">
        <v>1278</v>
      </c>
      <c r="U51" s="323" t="s">
        <v>17</v>
      </c>
    </row>
    <row r="52" spans="1:21" x14ac:dyDescent="0.3">
      <c r="A52" s="323" t="s">
        <v>480</v>
      </c>
      <c r="B52" s="323" t="s">
        <v>80</v>
      </c>
      <c r="G52" s="323" t="s">
        <v>12</v>
      </c>
      <c r="H52" s="323" t="s">
        <v>388</v>
      </c>
      <c r="I52" s="323" t="s">
        <v>460</v>
      </c>
      <c r="J52" s="323" t="s">
        <v>1221</v>
      </c>
      <c r="K52" s="133">
        <v>80</v>
      </c>
      <c r="M52" s="323" t="s">
        <v>7</v>
      </c>
      <c r="N52" s="323" t="s">
        <v>8</v>
      </c>
      <c r="O52" s="323" t="s">
        <v>5</v>
      </c>
      <c r="P52" s="133">
        <v>14</v>
      </c>
      <c r="Q52" s="133">
        <v>59</v>
      </c>
      <c r="U52" s="323" t="s">
        <v>4</v>
      </c>
    </row>
    <row r="53" spans="1:21" x14ac:dyDescent="0.3">
      <c r="A53" s="323" t="s">
        <v>480</v>
      </c>
      <c r="B53" s="323" t="s">
        <v>102</v>
      </c>
      <c r="G53" s="323" t="s">
        <v>12</v>
      </c>
      <c r="H53" s="323" t="s">
        <v>389</v>
      </c>
      <c r="I53" s="323" t="s">
        <v>460</v>
      </c>
      <c r="J53" s="323" t="s">
        <v>1221</v>
      </c>
      <c r="K53" s="133">
        <v>223</v>
      </c>
      <c r="M53" s="323" t="s">
        <v>13</v>
      </c>
      <c r="N53" s="323" t="s">
        <v>14</v>
      </c>
      <c r="O53" s="323" t="s">
        <v>5</v>
      </c>
      <c r="P53" s="133">
        <v>41</v>
      </c>
      <c r="Q53" s="133">
        <v>227</v>
      </c>
      <c r="U53" s="323" t="s">
        <v>7</v>
      </c>
    </row>
    <row r="54" spans="1:21" x14ac:dyDescent="0.3">
      <c r="A54" s="323" t="s">
        <v>480</v>
      </c>
      <c r="B54" s="323" t="s">
        <v>106</v>
      </c>
      <c r="G54" s="323" t="s">
        <v>12</v>
      </c>
      <c r="H54" s="323" t="s">
        <v>391</v>
      </c>
      <c r="I54" s="323" t="s">
        <v>775</v>
      </c>
      <c r="J54" s="323" t="s">
        <v>1221</v>
      </c>
      <c r="K54" s="133"/>
      <c r="M54" s="323" t="s">
        <v>25</v>
      </c>
      <c r="N54" s="323" t="s">
        <v>26</v>
      </c>
      <c r="O54" s="323" t="s">
        <v>5</v>
      </c>
      <c r="P54" s="133">
        <v>14</v>
      </c>
      <c r="Q54" s="133">
        <v>77</v>
      </c>
      <c r="U54" s="323" t="s">
        <v>13</v>
      </c>
    </row>
    <row r="55" spans="1:21" x14ac:dyDescent="0.3">
      <c r="A55" s="323" t="s">
        <v>480</v>
      </c>
      <c r="B55" s="323" t="s">
        <v>116</v>
      </c>
      <c r="G55" s="323" t="s">
        <v>169</v>
      </c>
      <c r="H55" s="323" t="s">
        <v>168</v>
      </c>
      <c r="I55" s="323" t="s">
        <v>775</v>
      </c>
      <c r="J55" s="323" t="s">
        <v>1221</v>
      </c>
      <c r="K55" s="133"/>
      <c r="M55" s="323" t="s">
        <v>19</v>
      </c>
      <c r="N55" s="323" t="s">
        <v>20</v>
      </c>
      <c r="O55" s="323" t="s">
        <v>5</v>
      </c>
      <c r="P55" s="133">
        <v>15</v>
      </c>
      <c r="Q55" s="133">
        <v>68</v>
      </c>
      <c r="U55" s="323" t="s">
        <v>25</v>
      </c>
    </row>
    <row r="56" spans="1:21" x14ac:dyDescent="0.3">
      <c r="A56" s="323" t="s">
        <v>480</v>
      </c>
      <c r="B56" s="323" t="s">
        <v>130</v>
      </c>
      <c r="G56" s="323" t="s">
        <v>716</v>
      </c>
      <c r="H56" s="323" t="s">
        <v>1247</v>
      </c>
      <c r="I56" s="323" t="s">
        <v>460</v>
      </c>
      <c r="J56" s="323" t="s">
        <v>1221</v>
      </c>
      <c r="K56" s="133">
        <v>153</v>
      </c>
      <c r="M56" s="323" t="s">
        <v>23</v>
      </c>
      <c r="N56" s="323" t="s">
        <v>24</v>
      </c>
      <c r="O56" s="323" t="s">
        <v>5</v>
      </c>
      <c r="P56" s="133">
        <v>20</v>
      </c>
      <c r="Q56" s="133">
        <v>95</v>
      </c>
      <c r="U56" s="323" t="s">
        <v>19</v>
      </c>
    </row>
    <row r="57" spans="1:21" x14ac:dyDescent="0.3">
      <c r="A57" s="323" t="s">
        <v>480</v>
      </c>
      <c r="B57" s="323" t="s">
        <v>138</v>
      </c>
      <c r="G57" s="323" t="s">
        <v>231</v>
      </c>
      <c r="H57" s="323" t="s">
        <v>386</v>
      </c>
      <c r="I57" s="323" t="s">
        <v>775</v>
      </c>
      <c r="J57" s="323" t="s">
        <v>1221</v>
      </c>
      <c r="K57" s="133">
        <v>32</v>
      </c>
      <c r="M57" s="323" t="s">
        <v>208</v>
      </c>
      <c r="N57" s="323" t="s">
        <v>209</v>
      </c>
      <c r="O57" s="323" t="s">
        <v>185</v>
      </c>
      <c r="P57" s="133">
        <v>415</v>
      </c>
      <c r="Q57" s="133">
        <v>1898</v>
      </c>
      <c r="U57" s="323" t="s">
        <v>23</v>
      </c>
    </row>
    <row r="58" spans="1:21" x14ac:dyDescent="0.3">
      <c r="A58" s="323" t="s">
        <v>480</v>
      </c>
      <c r="B58" s="323" t="s">
        <v>136</v>
      </c>
      <c r="G58" s="323" t="s">
        <v>915</v>
      </c>
      <c r="H58" s="323" t="s">
        <v>916</v>
      </c>
      <c r="I58" s="323" t="s">
        <v>460</v>
      </c>
      <c r="J58" s="73">
        <v>41122</v>
      </c>
      <c r="K58" s="133">
        <v>104</v>
      </c>
      <c r="M58" s="323" t="s">
        <v>210</v>
      </c>
      <c r="N58" s="323" t="s">
        <v>211</v>
      </c>
      <c r="O58" s="323" t="s">
        <v>185</v>
      </c>
      <c r="P58" s="133"/>
      <c r="Q58" s="133"/>
      <c r="U58" s="323" t="s">
        <v>208</v>
      </c>
    </row>
    <row r="59" spans="1:21" x14ac:dyDescent="0.3">
      <c r="A59" s="323" t="s">
        <v>480</v>
      </c>
      <c r="B59" s="323" t="s">
        <v>68</v>
      </c>
      <c r="G59" s="323" t="s">
        <v>362</v>
      </c>
      <c r="H59" s="323" t="s">
        <v>29</v>
      </c>
      <c r="I59" s="323" t="s">
        <v>460</v>
      </c>
      <c r="J59" s="73">
        <v>41030</v>
      </c>
      <c r="K59" s="133">
        <v>160</v>
      </c>
      <c r="M59" s="323" t="s">
        <v>206</v>
      </c>
      <c r="N59" s="323" t="s">
        <v>207</v>
      </c>
      <c r="O59" s="323" t="s">
        <v>185</v>
      </c>
      <c r="P59" s="133"/>
      <c r="Q59" s="133"/>
      <c r="U59" s="323" t="s">
        <v>210</v>
      </c>
    </row>
    <row r="60" spans="1:21" x14ac:dyDescent="0.3">
      <c r="A60" s="323" t="s">
        <v>480</v>
      </c>
      <c r="B60" s="323" t="s">
        <v>84</v>
      </c>
      <c r="G60" s="323" t="s">
        <v>194</v>
      </c>
      <c r="H60" s="323" t="s">
        <v>193</v>
      </c>
      <c r="I60" s="323" t="s">
        <v>460</v>
      </c>
      <c r="J60" s="73">
        <v>40695</v>
      </c>
      <c r="K60" s="133">
        <v>716</v>
      </c>
      <c r="M60" s="323" t="s">
        <v>216</v>
      </c>
      <c r="N60" s="323" t="s">
        <v>217</v>
      </c>
      <c r="O60" s="323" t="s">
        <v>185</v>
      </c>
      <c r="P60" s="133"/>
      <c r="Q60" s="133"/>
      <c r="U60" s="323" t="s">
        <v>206</v>
      </c>
    </row>
    <row r="61" spans="1:21" x14ac:dyDescent="0.3">
      <c r="A61" s="323" t="s">
        <v>480</v>
      </c>
      <c r="B61" s="323" t="s">
        <v>86</v>
      </c>
      <c r="G61" s="323" t="s">
        <v>14</v>
      </c>
      <c r="H61" s="323" t="s">
        <v>13</v>
      </c>
      <c r="I61" s="323" t="s">
        <v>460</v>
      </c>
      <c r="J61" s="73">
        <v>40878</v>
      </c>
      <c r="K61" s="133">
        <v>41</v>
      </c>
      <c r="M61" s="323" t="s">
        <v>226</v>
      </c>
      <c r="N61" s="323" t="s">
        <v>227</v>
      </c>
      <c r="O61" s="323" t="s">
        <v>185</v>
      </c>
      <c r="P61" s="133"/>
      <c r="Q61" s="133"/>
      <c r="U61" s="323" t="s">
        <v>216</v>
      </c>
    </row>
    <row r="62" spans="1:21" x14ac:dyDescent="0.3">
      <c r="A62" s="323" t="s">
        <v>480</v>
      </c>
      <c r="B62" s="323" t="s">
        <v>100</v>
      </c>
      <c r="G62" s="323" t="s">
        <v>751</v>
      </c>
      <c r="H62" s="323" t="s">
        <v>752</v>
      </c>
      <c r="I62" s="323" t="s">
        <v>460</v>
      </c>
      <c r="J62" s="323" t="s">
        <v>1221</v>
      </c>
      <c r="K62" s="133"/>
      <c r="M62" s="323" t="s">
        <v>212</v>
      </c>
      <c r="N62" s="323" t="s">
        <v>213</v>
      </c>
      <c r="O62" s="323" t="s">
        <v>185</v>
      </c>
      <c r="P62" s="133">
        <v>47</v>
      </c>
      <c r="Q62" s="133">
        <v>153</v>
      </c>
      <c r="U62" s="323" t="s">
        <v>226</v>
      </c>
    </row>
    <row r="63" spans="1:21" x14ac:dyDescent="0.3">
      <c r="A63" s="323" t="s">
        <v>480</v>
      </c>
      <c r="B63" s="323" t="s">
        <v>104</v>
      </c>
      <c r="G63" s="323" t="s">
        <v>810</v>
      </c>
      <c r="H63" s="323" t="s">
        <v>809</v>
      </c>
      <c r="I63" s="323" t="s">
        <v>775</v>
      </c>
      <c r="J63" s="323" t="s">
        <v>1221</v>
      </c>
      <c r="K63" s="133">
        <v>0</v>
      </c>
      <c r="M63" s="323" t="s">
        <v>201</v>
      </c>
      <c r="N63" s="323" t="s">
        <v>202</v>
      </c>
      <c r="O63" s="323" t="s">
        <v>185</v>
      </c>
      <c r="P63" s="133">
        <v>281</v>
      </c>
      <c r="Q63" s="133">
        <v>1256</v>
      </c>
      <c r="U63" s="323" t="s">
        <v>212</v>
      </c>
    </row>
    <row r="64" spans="1:21" x14ac:dyDescent="0.3">
      <c r="A64" s="323" t="s">
        <v>480</v>
      </c>
      <c r="B64" s="323" t="s">
        <v>98</v>
      </c>
      <c r="G64" s="323" t="s">
        <v>892</v>
      </c>
      <c r="H64" s="323" t="s">
        <v>893</v>
      </c>
      <c r="I64" s="323" t="s">
        <v>460</v>
      </c>
      <c r="J64" s="73">
        <v>41487</v>
      </c>
      <c r="K64" s="133">
        <v>10</v>
      </c>
      <c r="M64" s="323" t="s">
        <v>203</v>
      </c>
      <c r="N64" s="323" t="s">
        <v>204</v>
      </c>
      <c r="O64" s="323" t="s">
        <v>185</v>
      </c>
      <c r="P64" s="133"/>
      <c r="Q64" s="133"/>
      <c r="U64" s="323" t="s">
        <v>201</v>
      </c>
    </row>
    <row r="65" spans="1:21" x14ac:dyDescent="0.3">
      <c r="A65" s="323" t="s">
        <v>480</v>
      </c>
      <c r="B65" s="323" t="s">
        <v>142</v>
      </c>
      <c r="G65" s="323" t="s">
        <v>252</v>
      </c>
      <c r="H65" s="323" t="s">
        <v>251</v>
      </c>
      <c r="I65" s="323" t="s">
        <v>460</v>
      </c>
      <c r="J65" s="73">
        <v>40725</v>
      </c>
      <c r="K65" s="133">
        <v>199</v>
      </c>
      <c r="M65" s="323" t="s">
        <v>199</v>
      </c>
      <c r="N65" s="323" t="s">
        <v>200</v>
      </c>
      <c r="O65" s="323" t="s">
        <v>185</v>
      </c>
      <c r="P65" s="133"/>
      <c r="Q65" s="133"/>
      <c r="U65" s="323" t="s">
        <v>203</v>
      </c>
    </row>
    <row r="66" spans="1:21" x14ac:dyDescent="0.3">
      <c r="A66" s="323" t="s">
        <v>480</v>
      </c>
      <c r="B66" s="323" t="s">
        <v>551</v>
      </c>
      <c r="G66" s="323" t="s">
        <v>254</v>
      </c>
      <c r="H66" s="323" t="s">
        <v>253</v>
      </c>
      <c r="I66" s="323" t="s">
        <v>460</v>
      </c>
      <c r="J66" s="73">
        <v>40725</v>
      </c>
      <c r="K66" s="133">
        <v>115</v>
      </c>
      <c r="M66" s="323" t="s">
        <v>220</v>
      </c>
      <c r="N66" s="323" t="s">
        <v>221</v>
      </c>
      <c r="O66" s="323" t="s">
        <v>185</v>
      </c>
      <c r="P66" s="133"/>
      <c r="Q66" s="133"/>
      <c r="U66" s="323" t="s">
        <v>199</v>
      </c>
    </row>
    <row r="67" spans="1:21" x14ac:dyDescent="0.3">
      <c r="A67" s="323" t="s">
        <v>480</v>
      </c>
      <c r="B67" s="323" t="s">
        <v>108</v>
      </c>
      <c r="G67" s="323" t="s">
        <v>196</v>
      </c>
      <c r="H67" s="323" t="s">
        <v>195</v>
      </c>
      <c r="I67" s="323" t="s">
        <v>460</v>
      </c>
      <c r="J67" s="73">
        <v>41061</v>
      </c>
      <c r="K67" s="133">
        <v>1497</v>
      </c>
      <c r="M67" s="323" t="s">
        <v>150</v>
      </c>
      <c r="N67" s="323" t="s">
        <v>152</v>
      </c>
      <c r="O67" s="323" t="s">
        <v>151</v>
      </c>
      <c r="P67" s="133">
        <v>185</v>
      </c>
      <c r="Q67" s="133">
        <v>830</v>
      </c>
      <c r="U67" s="323" t="s">
        <v>220</v>
      </c>
    </row>
    <row r="68" spans="1:21" x14ac:dyDescent="0.3">
      <c r="A68" s="323" t="s">
        <v>480</v>
      </c>
      <c r="B68" s="323" t="s">
        <v>110</v>
      </c>
      <c r="G68" s="323" t="s">
        <v>1200</v>
      </c>
      <c r="H68" s="323" t="s">
        <v>1178</v>
      </c>
      <c r="I68" s="323" t="s">
        <v>775</v>
      </c>
      <c r="J68" s="323" t="s">
        <v>1221</v>
      </c>
      <c r="K68" s="133"/>
      <c r="M68" s="323" t="s">
        <v>304</v>
      </c>
      <c r="N68" s="323" t="s">
        <v>305</v>
      </c>
      <c r="O68" s="323" t="s">
        <v>301</v>
      </c>
      <c r="P68" s="133">
        <v>88</v>
      </c>
      <c r="Q68" s="133">
        <v>330</v>
      </c>
      <c r="U68" s="323" t="s">
        <v>150</v>
      </c>
    </row>
    <row r="69" spans="1:21" x14ac:dyDescent="0.3">
      <c r="A69" s="323" t="s">
        <v>480</v>
      </c>
      <c r="B69" s="323" t="s">
        <v>112</v>
      </c>
      <c r="G69" s="323" t="s">
        <v>1529</v>
      </c>
      <c r="H69" s="323" t="s">
        <v>1565</v>
      </c>
      <c r="I69" s="323" t="s">
        <v>460</v>
      </c>
      <c r="J69" s="73">
        <v>42929</v>
      </c>
      <c r="K69" s="133">
        <v>19</v>
      </c>
      <c r="M69" s="323" t="s">
        <v>306</v>
      </c>
      <c r="N69" s="323" t="s">
        <v>307</v>
      </c>
      <c r="O69" s="323" t="s">
        <v>301</v>
      </c>
      <c r="P69" s="133">
        <v>46</v>
      </c>
      <c r="Q69" s="133">
        <v>199</v>
      </c>
      <c r="U69" s="323" t="s">
        <v>304</v>
      </c>
    </row>
    <row r="70" spans="1:21" x14ac:dyDescent="0.3">
      <c r="A70" s="323" t="s">
        <v>480</v>
      </c>
      <c r="B70" s="323" t="s">
        <v>114</v>
      </c>
      <c r="G70" s="323" t="s">
        <v>1210</v>
      </c>
      <c r="H70" s="323" t="s">
        <v>1177</v>
      </c>
      <c r="I70" s="323" t="s">
        <v>775</v>
      </c>
      <c r="J70" s="323" t="s">
        <v>1221</v>
      </c>
      <c r="K70" s="133"/>
      <c r="M70" s="323" t="s">
        <v>222</v>
      </c>
      <c r="N70" s="323" t="s">
        <v>223</v>
      </c>
      <c r="O70" s="323" t="s">
        <v>185</v>
      </c>
      <c r="P70" s="133">
        <v>129</v>
      </c>
      <c r="Q70" s="133">
        <v>640</v>
      </c>
      <c r="U70" s="323" t="s">
        <v>306</v>
      </c>
    </row>
    <row r="71" spans="1:21" x14ac:dyDescent="0.3">
      <c r="A71" s="323" t="s">
        <v>480</v>
      </c>
      <c r="B71" s="323" t="s">
        <v>118</v>
      </c>
      <c r="G71" s="323" t="s">
        <v>16</v>
      </c>
      <c r="H71" s="323" t="s">
        <v>15</v>
      </c>
      <c r="I71" s="323" t="s">
        <v>775</v>
      </c>
      <c r="J71" s="323" t="s">
        <v>1221</v>
      </c>
      <c r="K71" s="133"/>
      <c r="M71" s="323" t="s">
        <v>189</v>
      </c>
      <c r="N71" s="323" t="s">
        <v>190</v>
      </c>
      <c r="O71" s="323" t="s">
        <v>185</v>
      </c>
      <c r="P71" s="133">
        <v>203</v>
      </c>
      <c r="Q71" s="133">
        <v>1138</v>
      </c>
      <c r="U71" s="323" t="s">
        <v>222</v>
      </c>
    </row>
    <row r="72" spans="1:21" x14ac:dyDescent="0.3">
      <c r="A72" s="323" t="s">
        <v>480</v>
      </c>
      <c r="B72" s="323" t="s">
        <v>122</v>
      </c>
      <c r="G72" s="323" t="s">
        <v>1199</v>
      </c>
      <c r="H72" s="323" t="s">
        <v>1175</v>
      </c>
      <c r="I72" s="323" t="s">
        <v>775</v>
      </c>
      <c r="J72" s="323" t="s">
        <v>1221</v>
      </c>
      <c r="K72" s="133"/>
      <c r="M72" s="323" t="s">
        <v>184</v>
      </c>
      <c r="N72" s="323" t="s">
        <v>186</v>
      </c>
      <c r="O72" s="323" t="s">
        <v>185</v>
      </c>
      <c r="P72" s="133">
        <v>40</v>
      </c>
      <c r="Q72" s="133">
        <v>240</v>
      </c>
      <c r="U72" s="323" t="s">
        <v>189</v>
      </c>
    </row>
    <row r="73" spans="1:21" x14ac:dyDescent="0.3">
      <c r="A73" s="323" t="s">
        <v>480</v>
      </c>
      <c r="B73" s="323" t="s">
        <v>124</v>
      </c>
      <c r="G73" s="323" t="s">
        <v>474</v>
      </c>
      <c r="H73" s="323" t="s">
        <v>475</v>
      </c>
      <c r="I73" s="323" t="s">
        <v>460</v>
      </c>
      <c r="J73" s="323" t="s">
        <v>1221</v>
      </c>
      <c r="K73" s="133">
        <v>3</v>
      </c>
      <c r="M73" s="323" t="s">
        <v>228</v>
      </c>
      <c r="N73" s="323" t="s">
        <v>229</v>
      </c>
      <c r="O73" s="323" t="s">
        <v>185</v>
      </c>
      <c r="P73" s="133">
        <v>48</v>
      </c>
      <c r="Q73" s="133">
        <v>293</v>
      </c>
      <c r="U73" s="323" t="s">
        <v>184</v>
      </c>
    </row>
    <row r="74" spans="1:21" x14ac:dyDescent="0.3">
      <c r="A74" s="323" t="s">
        <v>480</v>
      </c>
      <c r="B74" s="323" t="s">
        <v>96</v>
      </c>
      <c r="G74" s="323" t="s">
        <v>370</v>
      </c>
      <c r="H74" s="323" t="s">
        <v>380</v>
      </c>
      <c r="I74" s="323" t="s">
        <v>775</v>
      </c>
      <c r="J74" s="73">
        <v>41275</v>
      </c>
      <c r="K74" s="133"/>
      <c r="M74" s="323" t="s">
        <v>224</v>
      </c>
      <c r="N74" s="323" t="s">
        <v>225</v>
      </c>
      <c r="O74" s="323" t="s">
        <v>185</v>
      </c>
      <c r="P74" s="133">
        <v>43</v>
      </c>
      <c r="Q74" s="133">
        <v>269</v>
      </c>
      <c r="U74" s="323" t="s">
        <v>228</v>
      </c>
    </row>
    <row r="75" spans="1:21" x14ac:dyDescent="0.3">
      <c r="A75" s="323" t="s">
        <v>480</v>
      </c>
      <c r="B75" s="323" t="s">
        <v>132</v>
      </c>
      <c r="G75" s="323" t="s">
        <v>956</v>
      </c>
      <c r="H75" s="323" t="s">
        <v>957</v>
      </c>
      <c r="I75" s="323" t="s">
        <v>775</v>
      </c>
      <c r="J75" s="73">
        <v>42019</v>
      </c>
      <c r="K75" s="133"/>
      <c r="M75" s="323" t="s">
        <v>143</v>
      </c>
      <c r="N75" s="323" t="s">
        <v>145</v>
      </c>
      <c r="O75" s="323" t="s">
        <v>144</v>
      </c>
      <c r="P75" s="133"/>
      <c r="Q75" s="133"/>
      <c r="U75" s="323" t="s">
        <v>224</v>
      </c>
    </row>
    <row r="76" spans="1:21" x14ac:dyDescent="0.3">
      <c r="A76" s="323" t="s">
        <v>480</v>
      </c>
      <c r="B76" s="323" t="s">
        <v>134</v>
      </c>
      <c r="G76" s="323" t="s">
        <v>367</v>
      </c>
      <c r="H76" s="323" t="s">
        <v>381</v>
      </c>
      <c r="I76" s="323" t="s">
        <v>460</v>
      </c>
      <c r="J76" s="73">
        <v>41244</v>
      </c>
      <c r="K76" s="133">
        <v>56</v>
      </c>
      <c r="M76" s="323" t="s">
        <v>298</v>
      </c>
      <c r="N76" s="323" t="s">
        <v>300</v>
      </c>
      <c r="O76" s="323" t="s">
        <v>299</v>
      </c>
      <c r="P76" s="133">
        <v>14</v>
      </c>
      <c r="Q76" s="133">
        <v>75</v>
      </c>
      <c r="U76" s="323" t="s">
        <v>143</v>
      </c>
    </row>
    <row r="77" spans="1:21" x14ac:dyDescent="0.3">
      <c r="A77" s="323" t="s">
        <v>480</v>
      </c>
      <c r="B77" s="323" t="s">
        <v>64</v>
      </c>
      <c r="G77" s="323" t="s">
        <v>1233</v>
      </c>
      <c r="H77" s="323" t="s">
        <v>1232</v>
      </c>
      <c r="I77" s="323" t="s">
        <v>460</v>
      </c>
      <c r="J77" s="73">
        <v>42724</v>
      </c>
      <c r="K77" s="133">
        <v>39</v>
      </c>
      <c r="M77" s="323" t="s">
        <v>175</v>
      </c>
      <c r="N77" s="323" t="s">
        <v>1502</v>
      </c>
      <c r="O77" s="323" t="s">
        <v>173</v>
      </c>
      <c r="P77" s="133">
        <v>16</v>
      </c>
      <c r="Q77" s="133">
        <v>79</v>
      </c>
      <c r="U77" s="323" t="s">
        <v>298</v>
      </c>
    </row>
    <row r="78" spans="1:21" x14ac:dyDescent="0.3">
      <c r="A78" s="323" t="s">
        <v>480</v>
      </c>
      <c r="B78" s="323" t="s">
        <v>126</v>
      </c>
      <c r="G78" s="323" t="s">
        <v>368</v>
      </c>
      <c r="H78" s="323" t="s">
        <v>382</v>
      </c>
      <c r="I78" s="323" t="s">
        <v>460</v>
      </c>
      <c r="J78" s="73">
        <v>41244</v>
      </c>
      <c r="K78" s="133">
        <v>29</v>
      </c>
      <c r="M78" s="323" t="s">
        <v>172</v>
      </c>
      <c r="N78" s="323" t="s">
        <v>174</v>
      </c>
      <c r="O78" s="323" t="s">
        <v>173</v>
      </c>
      <c r="P78" s="133">
        <v>13</v>
      </c>
      <c r="Q78" s="133">
        <v>70</v>
      </c>
      <c r="U78" s="323" t="s">
        <v>175</v>
      </c>
    </row>
    <row r="79" spans="1:21" x14ac:dyDescent="0.3">
      <c r="A79" s="323" t="s">
        <v>480</v>
      </c>
      <c r="B79" s="323" t="s">
        <v>74</v>
      </c>
      <c r="G79" s="323" t="s">
        <v>1281</v>
      </c>
      <c r="H79" s="323" t="s">
        <v>1280</v>
      </c>
      <c r="I79" s="323" t="s">
        <v>460</v>
      </c>
      <c r="J79" s="73">
        <v>42781</v>
      </c>
      <c r="K79" s="133">
        <v>59</v>
      </c>
      <c r="M79" s="323" t="s">
        <v>177</v>
      </c>
      <c r="N79" s="323" t="s">
        <v>178</v>
      </c>
      <c r="O79" s="323" t="s">
        <v>173</v>
      </c>
      <c r="P79" s="133">
        <v>10</v>
      </c>
      <c r="Q79" s="133">
        <v>41</v>
      </c>
      <c r="U79" s="323" t="s">
        <v>172</v>
      </c>
    </row>
    <row r="80" spans="1:21" x14ac:dyDescent="0.3">
      <c r="A80" s="323" t="s">
        <v>480</v>
      </c>
      <c r="B80" s="323" t="s">
        <v>140</v>
      </c>
      <c r="G80" s="323" t="s">
        <v>256</v>
      </c>
      <c r="H80" s="323" t="s">
        <v>255</v>
      </c>
      <c r="I80" s="323" t="s">
        <v>460</v>
      </c>
      <c r="J80" s="73">
        <v>40909</v>
      </c>
      <c r="K80" s="133">
        <v>44</v>
      </c>
      <c r="M80" s="323" t="s">
        <v>179</v>
      </c>
      <c r="N80" s="323" t="s">
        <v>181</v>
      </c>
      <c r="O80" s="323" t="s">
        <v>180</v>
      </c>
      <c r="P80" s="133">
        <v>11</v>
      </c>
      <c r="Q80" s="133">
        <v>55</v>
      </c>
      <c r="U80" s="323" t="s">
        <v>177</v>
      </c>
    </row>
    <row r="81" spans="1:21" x14ac:dyDescent="0.3">
      <c r="A81" s="323" t="s">
        <v>480</v>
      </c>
      <c r="B81" s="323" t="s">
        <v>467</v>
      </c>
      <c r="G81" s="323" t="s">
        <v>174</v>
      </c>
      <c r="H81" s="323" t="s">
        <v>172</v>
      </c>
      <c r="I81" s="323" t="s">
        <v>460</v>
      </c>
      <c r="J81" s="73">
        <v>41030</v>
      </c>
      <c r="K81" s="133">
        <v>13</v>
      </c>
      <c r="M81" s="323" t="s">
        <v>182</v>
      </c>
      <c r="N81" s="323" t="s">
        <v>183</v>
      </c>
      <c r="O81" s="323" t="s">
        <v>180</v>
      </c>
      <c r="P81" s="133">
        <v>0</v>
      </c>
      <c r="Q81" s="133">
        <v>0</v>
      </c>
      <c r="U81" s="323" t="s">
        <v>179</v>
      </c>
    </row>
    <row r="82" spans="1:21" x14ac:dyDescent="0.3">
      <c r="A82" s="323" t="s">
        <v>480</v>
      </c>
      <c r="B82" s="323" t="s">
        <v>915</v>
      </c>
      <c r="G82" s="323" t="s">
        <v>145</v>
      </c>
      <c r="H82" s="323" t="s">
        <v>143</v>
      </c>
      <c r="I82" s="323" t="s">
        <v>775</v>
      </c>
      <c r="J82" s="323" t="s">
        <v>1221</v>
      </c>
      <c r="K82" s="133"/>
      <c r="M82" s="323" t="s">
        <v>109</v>
      </c>
      <c r="N82" s="323" t="s">
        <v>110</v>
      </c>
      <c r="O82" s="323" t="s">
        <v>480</v>
      </c>
      <c r="P82" s="133">
        <v>0</v>
      </c>
      <c r="Q82" s="133">
        <v>0</v>
      </c>
      <c r="U82" s="323" t="s">
        <v>182</v>
      </c>
    </row>
    <row r="83" spans="1:21" x14ac:dyDescent="0.3">
      <c r="A83" s="323" t="s">
        <v>480</v>
      </c>
      <c r="B83" s="323" t="s">
        <v>956</v>
      </c>
      <c r="G83" s="323" t="s">
        <v>469</v>
      </c>
      <c r="H83" s="323" t="s">
        <v>470</v>
      </c>
      <c r="I83" s="323" t="s">
        <v>775</v>
      </c>
      <c r="J83" s="73">
        <v>41365</v>
      </c>
      <c r="K83" s="133">
        <v>0</v>
      </c>
      <c r="M83" s="323" t="s">
        <v>111</v>
      </c>
      <c r="N83" s="323" t="s">
        <v>112</v>
      </c>
      <c r="O83" s="323" t="s">
        <v>480</v>
      </c>
      <c r="P83" s="133">
        <v>0</v>
      </c>
      <c r="Q83" s="133">
        <v>0</v>
      </c>
      <c r="U83" s="323" t="s">
        <v>109</v>
      </c>
    </row>
    <row r="84" spans="1:21" x14ac:dyDescent="0.3">
      <c r="A84" s="323" t="s">
        <v>480</v>
      </c>
      <c r="B84" s="323" t="s">
        <v>1134</v>
      </c>
      <c r="G84" s="323" t="s">
        <v>1035</v>
      </c>
      <c r="H84" s="323" t="s">
        <v>313</v>
      </c>
      <c r="I84" s="323" t="s">
        <v>775</v>
      </c>
      <c r="J84" s="73">
        <v>40695</v>
      </c>
      <c r="K84" s="133">
        <v>0</v>
      </c>
      <c r="M84" s="323" t="s">
        <v>85</v>
      </c>
      <c r="N84" s="323" t="s">
        <v>86</v>
      </c>
      <c r="O84" s="323" t="s">
        <v>480</v>
      </c>
      <c r="P84" s="133">
        <v>0</v>
      </c>
      <c r="Q84" s="133">
        <v>0</v>
      </c>
      <c r="U84" s="323" t="s">
        <v>111</v>
      </c>
    </row>
    <row r="85" spans="1:21" x14ac:dyDescent="0.3">
      <c r="A85" s="323" t="s">
        <v>480</v>
      </c>
      <c r="B85" s="323" t="s">
        <v>1155</v>
      </c>
      <c r="G85" s="323" t="s">
        <v>1853</v>
      </c>
      <c r="H85" s="323" t="s">
        <v>1841</v>
      </c>
      <c r="I85" s="323" t="s">
        <v>460</v>
      </c>
      <c r="J85" s="73">
        <v>42847</v>
      </c>
      <c r="K85" s="133">
        <v>110</v>
      </c>
      <c r="M85" s="323" t="s">
        <v>83</v>
      </c>
      <c r="N85" s="323" t="s">
        <v>84</v>
      </c>
      <c r="O85" s="323" t="s">
        <v>480</v>
      </c>
      <c r="P85" s="133">
        <v>0</v>
      </c>
      <c r="Q85" s="133">
        <v>0</v>
      </c>
      <c r="U85" s="323" t="s">
        <v>85</v>
      </c>
    </row>
    <row r="86" spans="1:21" x14ac:dyDescent="0.3">
      <c r="A86" s="323" t="s">
        <v>480</v>
      </c>
      <c r="B86" s="323" t="s">
        <v>1159</v>
      </c>
      <c r="G86" s="323" t="s">
        <v>1852</v>
      </c>
      <c r="H86" s="323" t="s">
        <v>1840</v>
      </c>
      <c r="I86" s="323" t="s">
        <v>460</v>
      </c>
      <c r="J86" s="73">
        <v>42847</v>
      </c>
      <c r="K86" s="133">
        <v>89</v>
      </c>
      <c r="M86" s="323" t="s">
        <v>69</v>
      </c>
      <c r="N86" s="323" t="s">
        <v>70</v>
      </c>
      <c r="O86" s="323" t="s">
        <v>480</v>
      </c>
      <c r="P86" s="133"/>
      <c r="Q86" s="133"/>
      <c r="U86" s="323" t="s">
        <v>83</v>
      </c>
    </row>
    <row r="87" spans="1:21" x14ac:dyDescent="0.3">
      <c r="A87" s="323" t="s">
        <v>480</v>
      </c>
      <c r="B87" s="323" t="s">
        <v>1156</v>
      </c>
      <c r="G87" s="323" t="s">
        <v>34</v>
      </c>
      <c r="H87" s="323" t="s">
        <v>33</v>
      </c>
      <c r="I87" s="323" t="s">
        <v>775</v>
      </c>
      <c r="J87" s="323" t="s">
        <v>1221</v>
      </c>
      <c r="K87" s="133"/>
      <c r="M87" s="323" t="s">
        <v>103</v>
      </c>
      <c r="N87" s="323" t="s">
        <v>104</v>
      </c>
      <c r="O87" s="323" t="s">
        <v>480</v>
      </c>
      <c r="P87" s="133">
        <v>0</v>
      </c>
      <c r="Q87" s="133">
        <v>0</v>
      </c>
      <c r="U87" s="323" t="s">
        <v>69</v>
      </c>
    </row>
    <row r="88" spans="1:21" x14ac:dyDescent="0.3">
      <c r="A88" s="323" t="s">
        <v>480</v>
      </c>
      <c r="B88" s="323" t="s">
        <v>1158</v>
      </c>
      <c r="G88" s="323" t="s">
        <v>198</v>
      </c>
      <c r="H88" s="323" t="s">
        <v>197</v>
      </c>
      <c r="I88" s="323" t="s">
        <v>460</v>
      </c>
      <c r="J88" s="73">
        <v>40817</v>
      </c>
      <c r="K88" s="133">
        <v>544</v>
      </c>
      <c r="M88" s="323" t="s">
        <v>67</v>
      </c>
      <c r="N88" s="323" t="s">
        <v>68</v>
      </c>
      <c r="O88" s="323" t="s">
        <v>480</v>
      </c>
      <c r="P88" s="133">
        <v>0</v>
      </c>
      <c r="Q88" s="133">
        <v>0</v>
      </c>
      <c r="U88" s="323" t="s">
        <v>103</v>
      </c>
    </row>
    <row r="89" spans="1:21" x14ac:dyDescent="0.3">
      <c r="A89" s="323" t="s">
        <v>480</v>
      </c>
      <c r="B89" s="323" t="s">
        <v>1157</v>
      </c>
      <c r="G89" s="323" t="s">
        <v>303</v>
      </c>
      <c r="H89" s="323" t="s">
        <v>302</v>
      </c>
      <c r="I89" s="323" t="s">
        <v>460</v>
      </c>
      <c r="J89" s="73">
        <v>41701</v>
      </c>
      <c r="K89" s="133">
        <v>375</v>
      </c>
      <c r="M89" s="323" t="s">
        <v>99</v>
      </c>
      <c r="N89" s="323" t="s">
        <v>100</v>
      </c>
      <c r="O89" s="323" t="s">
        <v>480</v>
      </c>
      <c r="P89" s="133">
        <v>4</v>
      </c>
      <c r="Q89" s="133">
        <v>15</v>
      </c>
      <c r="U89" s="323" t="s">
        <v>67</v>
      </c>
    </row>
    <row r="90" spans="1:21" x14ac:dyDescent="0.3">
      <c r="A90" s="323" t="s">
        <v>480</v>
      </c>
      <c r="B90" s="323" t="s">
        <v>1282</v>
      </c>
      <c r="G90" s="323" t="s">
        <v>35</v>
      </c>
      <c r="H90" s="323" t="s">
        <v>360</v>
      </c>
      <c r="I90" s="323" t="s">
        <v>775</v>
      </c>
      <c r="J90" s="323" t="s">
        <v>1221</v>
      </c>
      <c r="K90" s="133">
        <v>0</v>
      </c>
      <c r="M90" s="323" t="s">
        <v>49</v>
      </c>
      <c r="N90" s="323" t="s">
        <v>50</v>
      </c>
      <c r="O90" s="323" t="s">
        <v>480</v>
      </c>
      <c r="P90" s="133"/>
      <c r="Q90" s="133"/>
      <c r="U90" s="323" t="s">
        <v>99</v>
      </c>
    </row>
    <row r="91" spans="1:21" x14ac:dyDescent="0.3">
      <c r="A91" s="323" t="s">
        <v>719</v>
      </c>
      <c r="B91" s="323" t="s">
        <v>535</v>
      </c>
      <c r="G91" s="323" t="s">
        <v>1282</v>
      </c>
      <c r="H91" s="323" t="s">
        <v>1273</v>
      </c>
      <c r="I91" s="323" t="s">
        <v>460</v>
      </c>
      <c r="J91" s="73">
        <v>42887</v>
      </c>
      <c r="K91" s="133">
        <v>123</v>
      </c>
      <c r="M91" s="323" t="s">
        <v>65</v>
      </c>
      <c r="N91" s="323" t="s">
        <v>66</v>
      </c>
      <c r="O91" s="323" t="s">
        <v>480</v>
      </c>
      <c r="P91" s="133">
        <v>0</v>
      </c>
      <c r="Q91" s="133">
        <v>0</v>
      </c>
      <c r="U91" s="323" t="s">
        <v>49</v>
      </c>
    </row>
    <row r="92" spans="1:21" x14ac:dyDescent="0.3">
      <c r="A92" s="323" t="s">
        <v>719</v>
      </c>
      <c r="B92" s="323" t="s">
        <v>1060</v>
      </c>
      <c r="G92" s="323" t="s">
        <v>240</v>
      </c>
      <c r="H92" s="323" t="s">
        <v>239</v>
      </c>
      <c r="I92" s="323" t="s">
        <v>460</v>
      </c>
      <c r="J92" s="73">
        <v>40603</v>
      </c>
      <c r="K92" s="133">
        <v>102</v>
      </c>
      <c r="M92" s="323" t="s">
        <v>53</v>
      </c>
      <c r="N92" s="323" t="s">
        <v>54</v>
      </c>
      <c r="O92" s="323" t="s">
        <v>480</v>
      </c>
      <c r="P92" s="133">
        <v>0</v>
      </c>
      <c r="Q92" s="133">
        <v>0</v>
      </c>
      <c r="U92" s="323" t="s">
        <v>65</v>
      </c>
    </row>
    <row r="93" spans="1:21" x14ac:dyDescent="0.3">
      <c r="A93" s="323" t="s">
        <v>719</v>
      </c>
      <c r="B93" s="323" t="s">
        <v>1144</v>
      </c>
      <c r="G93" s="323" t="s">
        <v>284</v>
      </c>
      <c r="H93" s="323" t="s">
        <v>283</v>
      </c>
      <c r="I93" s="323" t="s">
        <v>460</v>
      </c>
      <c r="J93" s="73">
        <v>40695</v>
      </c>
      <c r="K93" s="133">
        <v>138</v>
      </c>
      <c r="M93" s="323" t="s">
        <v>115</v>
      </c>
      <c r="N93" s="323" t="s">
        <v>116</v>
      </c>
      <c r="O93" s="323" t="s">
        <v>480</v>
      </c>
      <c r="P93" s="133">
        <v>0</v>
      </c>
      <c r="Q93" s="133">
        <v>0</v>
      </c>
      <c r="U93" s="323" t="s">
        <v>53</v>
      </c>
    </row>
    <row r="94" spans="1:21" x14ac:dyDescent="0.3">
      <c r="A94" s="323" t="s">
        <v>361</v>
      </c>
      <c r="B94" s="323" t="s">
        <v>35</v>
      </c>
      <c r="G94" s="323" t="s">
        <v>363</v>
      </c>
      <c r="H94" s="323" t="s">
        <v>376</v>
      </c>
      <c r="I94" s="323" t="s">
        <v>460</v>
      </c>
      <c r="J94" s="73">
        <v>40940</v>
      </c>
      <c r="K94" s="133">
        <v>143</v>
      </c>
      <c r="M94" s="323" t="s">
        <v>79</v>
      </c>
      <c r="N94" s="323" t="s">
        <v>80</v>
      </c>
      <c r="O94" s="323" t="s">
        <v>480</v>
      </c>
      <c r="P94" s="133">
        <v>0</v>
      </c>
      <c r="Q94" s="133">
        <v>0</v>
      </c>
      <c r="U94" s="323" t="s">
        <v>115</v>
      </c>
    </row>
    <row r="95" spans="1:21" x14ac:dyDescent="0.3">
      <c r="A95" s="323" t="s">
        <v>144</v>
      </c>
      <c r="B95" s="323" t="s">
        <v>145</v>
      </c>
      <c r="G95" s="323" t="s">
        <v>90</v>
      </c>
      <c r="H95" s="323" t="s">
        <v>89</v>
      </c>
      <c r="I95" s="323" t="s">
        <v>460</v>
      </c>
      <c r="J95" s="73">
        <v>41275</v>
      </c>
      <c r="K95" s="133">
        <v>19</v>
      </c>
      <c r="M95" s="323" t="s">
        <v>137</v>
      </c>
      <c r="N95" s="323" t="s">
        <v>138</v>
      </c>
      <c r="O95" s="323" t="s">
        <v>480</v>
      </c>
      <c r="P95" s="133">
        <v>0</v>
      </c>
      <c r="Q95" s="133">
        <v>0</v>
      </c>
      <c r="U95" s="323" t="s">
        <v>79</v>
      </c>
    </row>
    <row r="96" spans="1:21" x14ac:dyDescent="0.3">
      <c r="A96" s="323" t="s">
        <v>146</v>
      </c>
      <c r="B96" s="323" t="s">
        <v>837</v>
      </c>
      <c r="G96" s="323" t="s">
        <v>92</v>
      </c>
      <c r="H96" s="323" t="s">
        <v>91</v>
      </c>
      <c r="I96" s="323" t="s">
        <v>460</v>
      </c>
      <c r="J96" s="73">
        <v>41275</v>
      </c>
      <c r="K96" s="133">
        <v>12</v>
      </c>
      <c r="M96" s="323" t="s">
        <v>101</v>
      </c>
      <c r="N96" s="323" t="s">
        <v>102</v>
      </c>
      <c r="O96" s="323" t="s">
        <v>480</v>
      </c>
      <c r="P96" s="133">
        <v>0</v>
      </c>
      <c r="Q96" s="133">
        <v>0</v>
      </c>
      <c r="U96" s="323" t="s">
        <v>137</v>
      </c>
    </row>
    <row r="97" spans="1:21" x14ac:dyDescent="0.3">
      <c r="A97" s="323" t="s">
        <v>146</v>
      </c>
      <c r="B97" s="323" t="s">
        <v>839</v>
      </c>
      <c r="G97" s="323" t="s">
        <v>18</v>
      </c>
      <c r="H97" s="323" t="s">
        <v>17</v>
      </c>
      <c r="I97" s="323" t="s">
        <v>460</v>
      </c>
      <c r="J97" s="73">
        <v>40695</v>
      </c>
      <c r="K97" s="133">
        <v>129</v>
      </c>
      <c r="M97" s="323" t="s">
        <v>105</v>
      </c>
      <c r="N97" s="323" t="s">
        <v>106</v>
      </c>
      <c r="O97" s="323" t="s">
        <v>480</v>
      </c>
      <c r="P97" s="133">
        <v>0</v>
      </c>
      <c r="Q97" s="133">
        <v>0</v>
      </c>
      <c r="U97" s="323" t="s">
        <v>101</v>
      </c>
    </row>
    <row r="98" spans="1:21" x14ac:dyDescent="0.3">
      <c r="A98" s="323" t="s">
        <v>146</v>
      </c>
      <c r="B98" s="323" t="s">
        <v>370</v>
      </c>
      <c r="G98" s="323" t="s">
        <v>1192</v>
      </c>
      <c r="H98" s="323" t="s">
        <v>1174</v>
      </c>
      <c r="I98" s="323" t="s">
        <v>460</v>
      </c>
      <c r="J98" s="323" t="s">
        <v>1221</v>
      </c>
      <c r="K98" s="133">
        <v>43</v>
      </c>
      <c r="M98" s="323" t="s">
        <v>129</v>
      </c>
      <c r="N98" s="323" t="s">
        <v>130</v>
      </c>
      <c r="O98" s="323" t="s">
        <v>480</v>
      </c>
      <c r="P98" s="133">
        <v>0</v>
      </c>
      <c r="Q98" s="133">
        <v>0</v>
      </c>
      <c r="U98" s="323" t="s">
        <v>105</v>
      </c>
    </row>
    <row r="99" spans="1:21" x14ac:dyDescent="0.3">
      <c r="A99" s="323" t="s">
        <v>146</v>
      </c>
      <c r="B99" s="323" t="s">
        <v>367</v>
      </c>
      <c r="G99" s="323" t="s">
        <v>186</v>
      </c>
      <c r="H99" s="323" t="s">
        <v>184</v>
      </c>
      <c r="I99" s="323" t="s">
        <v>460</v>
      </c>
      <c r="J99" s="73">
        <v>41030</v>
      </c>
      <c r="K99" s="133">
        <v>40</v>
      </c>
      <c r="M99" s="323" t="s">
        <v>133</v>
      </c>
      <c r="N99" s="323" t="s">
        <v>134</v>
      </c>
      <c r="O99" s="323" t="s">
        <v>480</v>
      </c>
      <c r="P99" s="133"/>
      <c r="Q99" s="133"/>
      <c r="U99" s="323" t="s">
        <v>129</v>
      </c>
    </row>
    <row r="100" spans="1:21" x14ac:dyDescent="0.3">
      <c r="A100" s="323" t="s">
        <v>146</v>
      </c>
      <c r="B100" s="323" t="s">
        <v>368</v>
      </c>
      <c r="G100" s="323" t="s">
        <v>223</v>
      </c>
      <c r="H100" s="323" t="s">
        <v>222</v>
      </c>
      <c r="I100" s="323" t="s">
        <v>460</v>
      </c>
      <c r="J100" s="73">
        <v>40848</v>
      </c>
      <c r="K100" s="133">
        <v>129</v>
      </c>
      <c r="M100" s="323" t="s">
        <v>113</v>
      </c>
      <c r="N100" s="323" t="s">
        <v>114</v>
      </c>
      <c r="O100" s="323" t="s">
        <v>480</v>
      </c>
      <c r="P100" s="133">
        <v>0</v>
      </c>
      <c r="Q100" s="133">
        <v>0</v>
      </c>
      <c r="U100" s="323" t="s">
        <v>133</v>
      </c>
    </row>
    <row r="101" spans="1:21" x14ac:dyDescent="0.3">
      <c r="A101" s="323" t="s">
        <v>146</v>
      </c>
      <c r="B101" s="323" t="s">
        <v>369</v>
      </c>
      <c r="G101" s="323" t="s">
        <v>190</v>
      </c>
      <c r="H101" s="323" t="s">
        <v>189</v>
      </c>
      <c r="I101" s="323" t="s">
        <v>460</v>
      </c>
      <c r="J101" s="73">
        <v>41000</v>
      </c>
      <c r="K101" s="133">
        <v>203</v>
      </c>
      <c r="M101" s="323" t="s">
        <v>107</v>
      </c>
      <c r="N101" s="323" t="s">
        <v>108</v>
      </c>
      <c r="O101" s="323" t="s">
        <v>480</v>
      </c>
      <c r="P101" s="133">
        <v>49</v>
      </c>
      <c r="Q101" s="133">
        <v>230</v>
      </c>
      <c r="U101" s="323" t="s">
        <v>113</v>
      </c>
    </row>
    <row r="102" spans="1:21" x14ac:dyDescent="0.3">
      <c r="A102" s="323" t="s">
        <v>146</v>
      </c>
      <c r="B102" s="323" t="s">
        <v>365</v>
      </c>
      <c r="G102" s="323" t="s">
        <v>158</v>
      </c>
      <c r="H102" s="323" t="s">
        <v>157</v>
      </c>
      <c r="I102" s="323" t="s">
        <v>775</v>
      </c>
      <c r="J102" s="73">
        <v>41122</v>
      </c>
      <c r="K102" s="133">
        <v>0</v>
      </c>
      <c r="M102" s="323" t="s">
        <v>95</v>
      </c>
      <c r="N102" s="323" t="s">
        <v>96</v>
      </c>
      <c r="O102" s="323" t="s">
        <v>480</v>
      </c>
      <c r="P102" s="133">
        <v>0</v>
      </c>
      <c r="Q102" s="133">
        <v>0</v>
      </c>
      <c r="U102" s="323" t="s">
        <v>107</v>
      </c>
    </row>
    <row r="103" spans="1:21" x14ac:dyDescent="0.3">
      <c r="A103" s="323" t="s">
        <v>146</v>
      </c>
      <c r="B103" s="323" t="s">
        <v>149</v>
      </c>
      <c r="G103" s="323" t="s">
        <v>1046</v>
      </c>
      <c r="H103" s="323" t="s">
        <v>1045</v>
      </c>
      <c r="I103" s="323" t="s">
        <v>460</v>
      </c>
      <c r="J103" s="73">
        <v>42180</v>
      </c>
      <c r="K103" s="133">
        <v>61</v>
      </c>
      <c r="M103" s="323" t="s">
        <v>139</v>
      </c>
      <c r="N103" s="323" t="s">
        <v>140</v>
      </c>
      <c r="O103" s="323" t="s">
        <v>480</v>
      </c>
      <c r="P103" s="133">
        <v>16</v>
      </c>
      <c r="Q103" s="133">
        <v>66</v>
      </c>
      <c r="U103" s="323" t="s">
        <v>95</v>
      </c>
    </row>
    <row r="104" spans="1:21" x14ac:dyDescent="0.3">
      <c r="A104" s="323" t="s">
        <v>146</v>
      </c>
      <c r="B104" s="323" t="s">
        <v>371</v>
      </c>
      <c r="G104" s="323" t="s">
        <v>1502</v>
      </c>
      <c r="H104" s="323" t="s">
        <v>175</v>
      </c>
      <c r="I104" s="323" t="s">
        <v>460</v>
      </c>
      <c r="J104" s="73">
        <v>41030</v>
      </c>
      <c r="K104" s="133">
        <v>16</v>
      </c>
      <c r="M104" s="323" t="s">
        <v>135</v>
      </c>
      <c r="N104" s="323" t="s">
        <v>136</v>
      </c>
      <c r="O104" s="323" t="s">
        <v>480</v>
      </c>
      <c r="P104" s="133">
        <v>0</v>
      </c>
      <c r="Q104" s="133">
        <v>0</v>
      </c>
      <c r="U104" s="323" t="s">
        <v>139</v>
      </c>
    </row>
    <row r="105" spans="1:21" x14ac:dyDescent="0.3">
      <c r="A105" s="323" t="s">
        <v>146</v>
      </c>
      <c r="B105" s="323" t="s">
        <v>943</v>
      </c>
      <c r="G105" s="323" t="s">
        <v>1054</v>
      </c>
      <c r="H105" s="323" t="s">
        <v>1057</v>
      </c>
      <c r="I105" s="323" t="s">
        <v>775</v>
      </c>
      <c r="J105" s="73">
        <v>42125</v>
      </c>
      <c r="K105" s="133">
        <v>6</v>
      </c>
      <c r="M105" s="323" t="s">
        <v>93</v>
      </c>
      <c r="N105" s="323" t="s">
        <v>94</v>
      </c>
      <c r="O105" s="323" t="s">
        <v>480</v>
      </c>
      <c r="P105" s="133">
        <v>0</v>
      </c>
      <c r="Q105" s="133">
        <v>0</v>
      </c>
      <c r="U105" s="323" t="s">
        <v>135</v>
      </c>
    </row>
    <row r="106" spans="1:21" x14ac:dyDescent="0.3">
      <c r="A106" s="323" t="s">
        <v>146</v>
      </c>
      <c r="B106" s="323" t="s">
        <v>1082</v>
      </c>
      <c r="G106" s="323" t="s">
        <v>94</v>
      </c>
      <c r="H106" s="323" t="s">
        <v>93</v>
      </c>
      <c r="I106" s="323" t="s">
        <v>775</v>
      </c>
      <c r="J106" s="323" t="s">
        <v>1221</v>
      </c>
      <c r="K106" s="133">
        <v>0</v>
      </c>
      <c r="M106" s="323" t="s">
        <v>121</v>
      </c>
      <c r="N106" s="323" t="s">
        <v>122</v>
      </c>
      <c r="O106" s="323" t="s">
        <v>480</v>
      </c>
      <c r="P106" s="133">
        <v>0</v>
      </c>
      <c r="Q106" s="133">
        <v>0</v>
      </c>
      <c r="U106" s="323" t="s">
        <v>93</v>
      </c>
    </row>
    <row r="107" spans="1:21" x14ac:dyDescent="0.3">
      <c r="A107" s="323" t="s">
        <v>146</v>
      </c>
      <c r="B107" s="323" t="s">
        <v>1147</v>
      </c>
      <c r="G107" s="323" t="s">
        <v>819</v>
      </c>
      <c r="H107" s="323" t="s">
        <v>820</v>
      </c>
      <c r="I107" s="323" t="s">
        <v>775</v>
      </c>
      <c r="J107" s="73">
        <v>41518</v>
      </c>
      <c r="K107" s="133"/>
      <c r="M107" s="323" t="s">
        <v>71</v>
      </c>
      <c r="N107" s="323" t="s">
        <v>72</v>
      </c>
      <c r="O107" s="323" t="s">
        <v>480</v>
      </c>
      <c r="P107" s="133">
        <v>5</v>
      </c>
      <c r="Q107" s="133">
        <v>27</v>
      </c>
      <c r="U107" s="323" t="s">
        <v>121</v>
      </c>
    </row>
    <row r="108" spans="1:21" x14ac:dyDescent="0.3">
      <c r="A108" s="323" t="s">
        <v>146</v>
      </c>
      <c r="B108" s="323" t="s">
        <v>1233</v>
      </c>
      <c r="G108" s="323" t="s">
        <v>319</v>
      </c>
      <c r="H108" s="323" t="s">
        <v>318</v>
      </c>
      <c r="I108" s="323" t="s">
        <v>460</v>
      </c>
      <c r="J108" s="73">
        <v>41030</v>
      </c>
      <c r="K108" s="133">
        <v>30</v>
      </c>
      <c r="M108" s="323" t="s">
        <v>131</v>
      </c>
      <c r="N108" s="323" t="s">
        <v>132</v>
      </c>
      <c r="O108" s="323" t="s">
        <v>480</v>
      </c>
      <c r="P108" s="133">
        <v>0</v>
      </c>
      <c r="Q108" s="133">
        <v>0</v>
      </c>
      <c r="U108" s="323" t="s">
        <v>71</v>
      </c>
    </row>
    <row r="109" spans="1:21" x14ac:dyDescent="0.3">
      <c r="A109" s="323" t="s">
        <v>146</v>
      </c>
      <c r="B109" s="323" t="s">
        <v>1242</v>
      </c>
      <c r="G109" s="323" t="s">
        <v>321</v>
      </c>
      <c r="H109" s="323" t="s">
        <v>320</v>
      </c>
      <c r="I109" s="323" t="s">
        <v>460</v>
      </c>
      <c r="J109" s="73">
        <v>40695</v>
      </c>
      <c r="K109" s="133">
        <v>418</v>
      </c>
      <c r="M109" s="323" t="s">
        <v>354</v>
      </c>
      <c r="N109" s="323" t="s">
        <v>1032</v>
      </c>
      <c r="O109" s="323" t="s">
        <v>309</v>
      </c>
      <c r="P109" s="133"/>
      <c r="Q109" s="133"/>
      <c r="U109" s="323" t="s">
        <v>131</v>
      </c>
    </row>
    <row r="110" spans="1:21" x14ac:dyDescent="0.3">
      <c r="A110" s="323" t="s">
        <v>146</v>
      </c>
      <c r="B110" s="323" t="s">
        <v>1546</v>
      </c>
      <c r="G110" s="323" t="s">
        <v>200</v>
      </c>
      <c r="H110" s="323" t="s">
        <v>199</v>
      </c>
      <c r="I110" s="323" t="s">
        <v>775</v>
      </c>
      <c r="J110" s="323" t="s">
        <v>1221</v>
      </c>
      <c r="K110" s="133"/>
      <c r="M110" s="323" t="s">
        <v>332</v>
      </c>
      <c r="N110" s="323" t="s">
        <v>333</v>
      </c>
      <c r="O110" s="323" t="s">
        <v>309</v>
      </c>
      <c r="P110" s="133">
        <v>125</v>
      </c>
      <c r="Q110" s="133">
        <v>483</v>
      </c>
      <c r="U110" s="323" t="s">
        <v>354</v>
      </c>
    </row>
    <row r="111" spans="1:21" x14ac:dyDescent="0.3">
      <c r="A111" s="323" t="s">
        <v>146</v>
      </c>
      <c r="B111" s="323" t="s">
        <v>1596</v>
      </c>
      <c r="G111" s="323" t="s">
        <v>1651</v>
      </c>
      <c r="H111" s="323" t="s">
        <v>1121</v>
      </c>
      <c r="I111" s="323" t="s">
        <v>460</v>
      </c>
      <c r="J111" s="73">
        <v>42435</v>
      </c>
      <c r="K111" s="133">
        <v>108</v>
      </c>
      <c r="M111" s="323" t="s">
        <v>355</v>
      </c>
      <c r="N111" s="323" t="s">
        <v>356</v>
      </c>
      <c r="O111" s="323" t="s">
        <v>309</v>
      </c>
      <c r="P111" s="133">
        <v>0</v>
      </c>
      <c r="Q111" s="133">
        <v>0</v>
      </c>
      <c r="U111" s="323" t="s">
        <v>332</v>
      </c>
    </row>
    <row r="112" spans="1:21" x14ac:dyDescent="0.3">
      <c r="A112" s="323" t="s">
        <v>146</v>
      </c>
      <c r="B112" s="323" t="s">
        <v>1650</v>
      </c>
      <c r="G112" s="323" t="s">
        <v>327</v>
      </c>
      <c r="H112" s="323" t="s">
        <v>326</v>
      </c>
      <c r="I112" s="323" t="s">
        <v>460</v>
      </c>
      <c r="J112" s="73">
        <v>41456</v>
      </c>
      <c r="K112" s="133">
        <v>339</v>
      </c>
      <c r="M112" s="323" t="s">
        <v>334</v>
      </c>
      <c r="N112" s="323" t="s">
        <v>335</v>
      </c>
      <c r="O112" s="323" t="s">
        <v>309</v>
      </c>
      <c r="P112" s="133">
        <v>154</v>
      </c>
      <c r="Q112" s="133">
        <v>919</v>
      </c>
      <c r="U112" s="323" t="s">
        <v>355</v>
      </c>
    </row>
    <row r="113" spans="1:21" x14ac:dyDescent="0.3">
      <c r="A113" s="323" t="s">
        <v>146</v>
      </c>
      <c r="B113" s="323" t="s">
        <v>1651</v>
      </c>
      <c r="G113" s="323" t="s">
        <v>329</v>
      </c>
      <c r="H113" s="323" t="s">
        <v>328</v>
      </c>
      <c r="I113" s="323" t="s">
        <v>460</v>
      </c>
      <c r="J113" s="73">
        <v>41426</v>
      </c>
      <c r="K113" s="133">
        <v>285</v>
      </c>
      <c r="M113" s="323" t="s">
        <v>350</v>
      </c>
      <c r="N113" s="323" t="s">
        <v>351</v>
      </c>
      <c r="O113" s="323" t="s">
        <v>309</v>
      </c>
      <c r="P113" s="133">
        <v>1433</v>
      </c>
      <c r="Q113" s="133">
        <v>7123</v>
      </c>
      <c r="U113" s="323" t="s">
        <v>334</v>
      </c>
    </row>
    <row r="114" spans="1:21" x14ac:dyDescent="0.3">
      <c r="A114" s="323" t="s">
        <v>817</v>
      </c>
      <c r="B114" s="323" t="s">
        <v>819</v>
      </c>
      <c r="G114" s="323" t="s">
        <v>323</v>
      </c>
      <c r="H114" s="323" t="s">
        <v>322</v>
      </c>
      <c r="I114" s="323" t="s">
        <v>460</v>
      </c>
      <c r="J114" s="73">
        <v>41061</v>
      </c>
      <c r="K114" s="133">
        <v>510</v>
      </c>
      <c r="M114" s="323" t="s">
        <v>313</v>
      </c>
      <c r="N114" s="323" t="s">
        <v>1035</v>
      </c>
      <c r="O114" s="323" t="s">
        <v>309</v>
      </c>
      <c r="P114" s="133">
        <v>0</v>
      </c>
      <c r="Q114" s="133">
        <v>0</v>
      </c>
      <c r="U114" s="323" t="s">
        <v>350</v>
      </c>
    </row>
    <row r="115" spans="1:21" x14ac:dyDescent="0.3">
      <c r="A115" s="323" t="s">
        <v>151</v>
      </c>
      <c r="B115" s="323" t="s">
        <v>808</v>
      </c>
      <c r="G115" s="323" t="s">
        <v>325</v>
      </c>
      <c r="H115" s="323" t="s">
        <v>324</v>
      </c>
      <c r="I115" s="323" t="s">
        <v>460</v>
      </c>
      <c r="J115" s="73">
        <v>40878</v>
      </c>
      <c r="K115" s="133">
        <v>47</v>
      </c>
      <c r="M115" s="323" t="s">
        <v>330</v>
      </c>
      <c r="N115" s="323" t="s">
        <v>331</v>
      </c>
      <c r="O115" s="323" t="s">
        <v>309</v>
      </c>
      <c r="P115" s="133">
        <v>0</v>
      </c>
      <c r="Q115" s="133">
        <v>0</v>
      </c>
      <c r="U115" s="323" t="s">
        <v>313</v>
      </c>
    </row>
    <row r="116" spans="1:21" x14ac:dyDescent="0.3">
      <c r="A116" s="323" t="s">
        <v>151</v>
      </c>
      <c r="B116" s="323" t="s">
        <v>803</v>
      </c>
      <c r="G116" s="323" t="s">
        <v>811</v>
      </c>
      <c r="H116" s="323" t="s">
        <v>812</v>
      </c>
      <c r="I116" s="323" t="s">
        <v>460</v>
      </c>
      <c r="J116" s="73">
        <v>41548</v>
      </c>
      <c r="K116" s="133">
        <v>432</v>
      </c>
      <c r="M116" s="323" t="s">
        <v>320</v>
      </c>
      <c r="N116" s="323" t="s">
        <v>321</v>
      </c>
      <c r="O116" s="323" t="s">
        <v>309</v>
      </c>
      <c r="P116" s="133">
        <v>418</v>
      </c>
      <c r="Q116" s="133">
        <v>1569</v>
      </c>
      <c r="U116" s="323" t="s">
        <v>330</v>
      </c>
    </row>
    <row r="117" spans="1:21" x14ac:dyDescent="0.3">
      <c r="A117" s="323" t="s">
        <v>151</v>
      </c>
      <c r="B117" s="323" t="s">
        <v>804</v>
      </c>
      <c r="G117" s="323" t="s">
        <v>847</v>
      </c>
      <c r="H117" s="323" t="s">
        <v>846</v>
      </c>
      <c r="I117" s="323" t="s">
        <v>460</v>
      </c>
      <c r="J117" s="73">
        <v>41548</v>
      </c>
      <c r="K117" s="133">
        <v>169</v>
      </c>
      <c r="M117" s="323" t="s">
        <v>343</v>
      </c>
      <c r="N117" s="323" t="s">
        <v>1030</v>
      </c>
      <c r="O117" s="323" t="s">
        <v>309</v>
      </c>
      <c r="P117" s="133">
        <v>163</v>
      </c>
      <c r="Q117" s="133">
        <v>909</v>
      </c>
      <c r="U117" s="323" t="s">
        <v>320</v>
      </c>
    </row>
    <row r="118" spans="1:21" x14ac:dyDescent="0.3">
      <c r="A118" s="323" t="s">
        <v>151</v>
      </c>
      <c r="B118" s="323" t="s">
        <v>188</v>
      </c>
      <c r="G118" s="323" t="s">
        <v>258</v>
      </c>
      <c r="H118" s="323" t="s">
        <v>257</v>
      </c>
      <c r="I118" s="323" t="s">
        <v>460</v>
      </c>
      <c r="J118" s="73">
        <v>40756</v>
      </c>
      <c r="K118" s="133">
        <v>61</v>
      </c>
      <c r="M118" s="323" t="s">
        <v>195</v>
      </c>
      <c r="N118" s="323" t="s">
        <v>196</v>
      </c>
      <c r="O118" s="323" t="s">
        <v>185</v>
      </c>
      <c r="P118" s="133">
        <v>1497</v>
      </c>
      <c r="Q118" s="133">
        <v>8461</v>
      </c>
      <c r="U118" s="323" t="s">
        <v>343</v>
      </c>
    </row>
    <row r="119" spans="1:21" x14ac:dyDescent="0.3">
      <c r="A119" s="323" t="s">
        <v>151</v>
      </c>
      <c r="B119" s="323" t="s">
        <v>12</v>
      </c>
      <c r="G119" s="323" t="s">
        <v>202</v>
      </c>
      <c r="H119" s="323" t="s">
        <v>201</v>
      </c>
      <c r="I119" s="323" t="s">
        <v>460</v>
      </c>
      <c r="J119" s="73">
        <v>41030</v>
      </c>
      <c r="K119" s="133">
        <v>281</v>
      </c>
      <c r="M119" s="323" t="s">
        <v>193</v>
      </c>
      <c r="N119" s="323" t="s">
        <v>194</v>
      </c>
      <c r="O119" s="323" t="s">
        <v>185</v>
      </c>
      <c r="P119" s="133">
        <v>716</v>
      </c>
      <c r="Q119" s="133">
        <v>3646</v>
      </c>
      <c r="U119" s="323" t="s">
        <v>195</v>
      </c>
    </row>
    <row r="120" spans="1:21" x14ac:dyDescent="0.3">
      <c r="A120" s="323" t="s">
        <v>151</v>
      </c>
      <c r="B120" s="323" t="s">
        <v>810</v>
      </c>
      <c r="G120" s="323" t="s">
        <v>260</v>
      </c>
      <c r="H120" s="323" t="s">
        <v>259</v>
      </c>
      <c r="I120" s="323" t="s">
        <v>460</v>
      </c>
      <c r="J120" s="73">
        <v>40725</v>
      </c>
      <c r="K120" s="133">
        <v>103</v>
      </c>
      <c r="M120" s="323" t="s">
        <v>191</v>
      </c>
      <c r="N120" s="323" t="s">
        <v>192</v>
      </c>
      <c r="O120" s="323" t="s">
        <v>185</v>
      </c>
      <c r="P120" s="133">
        <v>93</v>
      </c>
      <c r="Q120" s="133">
        <v>428</v>
      </c>
      <c r="U120" s="323" t="s">
        <v>193</v>
      </c>
    </row>
    <row r="121" spans="1:21" x14ac:dyDescent="0.3">
      <c r="A121" s="323" t="s">
        <v>151</v>
      </c>
      <c r="B121" s="323" t="s">
        <v>469</v>
      </c>
      <c r="G121" s="323" t="s">
        <v>1198</v>
      </c>
      <c r="H121" s="323" t="s">
        <v>1186</v>
      </c>
      <c r="I121" s="323" t="s">
        <v>460</v>
      </c>
      <c r="J121" s="323" t="s">
        <v>1221</v>
      </c>
      <c r="K121" s="133">
        <v>37</v>
      </c>
      <c r="M121" s="323" t="s">
        <v>218</v>
      </c>
      <c r="N121" s="323" t="s">
        <v>219</v>
      </c>
      <c r="O121" s="323" t="s">
        <v>185</v>
      </c>
      <c r="P121" s="133">
        <v>651</v>
      </c>
      <c r="Q121" s="133">
        <v>3631</v>
      </c>
      <c r="U121" s="323" t="s">
        <v>191</v>
      </c>
    </row>
    <row r="122" spans="1:21" x14ac:dyDescent="0.3">
      <c r="A122" s="323" t="s">
        <v>151</v>
      </c>
      <c r="B122" s="323" t="s">
        <v>198</v>
      </c>
      <c r="G122" s="323" t="s">
        <v>802</v>
      </c>
      <c r="H122" s="323" t="s">
        <v>796</v>
      </c>
      <c r="I122" s="323" t="s">
        <v>775</v>
      </c>
      <c r="J122" s="323" t="s">
        <v>1221</v>
      </c>
      <c r="K122" s="133">
        <v>0</v>
      </c>
      <c r="M122" s="323" t="s">
        <v>197</v>
      </c>
      <c r="N122" s="323" t="s">
        <v>198</v>
      </c>
      <c r="O122" s="323" t="s">
        <v>151</v>
      </c>
      <c r="P122" s="133">
        <v>544</v>
      </c>
      <c r="Q122" s="133">
        <v>2424</v>
      </c>
      <c r="U122" s="323" t="s">
        <v>218</v>
      </c>
    </row>
    <row r="123" spans="1:21" x14ac:dyDescent="0.3">
      <c r="A123" s="323" t="s">
        <v>151</v>
      </c>
      <c r="B123" s="323" t="s">
        <v>158</v>
      </c>
      <c r="G123" s="323" t="s">
        <v>801</v>
      </c>
      <c r="H123" s="323" t="s">
        <v>800</v>
      </c>
      <c r="I123" s="323" t="s">
        <v>775</v>
      </c>
      <c r="J123" s="323" t="s">
        <v>1221</v>
      </c>
      <c r="K123" s="133">
        <v>0</v>
      </c>
      <c r="M123" s="323" t="s">
        <v>187</v>
      </c>
      <c r="N123" s="323" t="s">
        <v>188</v>
      </c>
      <c r="O123" s="323" t="s">
        <v>151</v>
      </c>
      <c r="P123" s="133">
        <v>365</v>
      </c>
      <c r="Q123" s="133">
        <v>1729</v>
      </c>
      <c r="U123" s="323" t="s">
        <v>197</v>
      </c>
    </row>
    <row r="124" spans="1:21" x14ac:dyDescent="0.3">
      <c r="A124" s="323" t="s">
        <v>151</v>
      </c>
      <c r="B124" s="323" t="s">
        <v>811</v>
      </c>
      <c r="G124" s="323" t="s">
        <v>1242</v>
      </c>
      <c r="H124" s="323" t="s">
        <v>1243</v>
      </c>
      <c r="I124" s="323" t="s">
        <v>460</v>
      </c>
      <c r="J124" s="323" t="s">
        <v>1221</v>
      </c>
      <c r="K124" s="133">
        <v>24</v>
      </c>
      <c r="M124" s="323" t="s">
        <v>214</v>
      </c>
      <c r="N124" s="323" t="s">
        <v>215</v>
      </c>
      <c r="O124" s="323" t="s">
        <v>185</v>
      </c>
      <c r="P124" s="133">
        <v>356</v>
      </c>
      <c r="Q124" s="133">
        <v>1787</v>
      </c>
      <c r="U124" s="323" t="s">
        <v>187</v>
      </c>
    </row>
    <row r="125" spans="1:21" x14ac:dyDescent="0.3">
      <c r="A125" s="323" t="s">
        <v>151</v>
      </c>
      <c r="B125" s="323" t="s">
        <v>802</v>
      </c>
      <c r="G125" s="323" t="s">
        <v>204</v>
      </c>
      <c r="H125" s="323" t="s">
        <v>203</v>
      </c>
      <c r="I125" s="323" t="s">
        <v>775</v>
      </c>
      <c r="J125" s="323" t="s">
        <v>1221</v>
      </c>
      <c r="K125" s="133"/>
      <c r="M125" s="323" t="s">
        <v>153</v>
      </c>
      <c r="N125" s="323" t="s">
        <v>154</v>
      </c>
      <c r="O125" s="323" t="s">
        <v>151</v>
      </c>
      <c r="P125" s="133">
        <v>446</v>
      </c>
      <c r="Q125" s="133">
        <v>2329</v>
      </c>
      <c r="U125" s="323" t="s">
        <v>214</v>
      </c>
    </row>
    <row r="126" spans="1:21" x14ac:dyDescent="0.3">
      <c r="A126" s="323" t="s">
        <v>151</v>
      </c>
      <c r="B126" s="323" t="s">
        <v>801</v>
      </c>
      <c r="G126" s="323" t="s">
        <v>1141</v>
      </c>
      <c r="H126" s="323" t="s">
        <v>1123</v>
      </c>
      <c r="I126" s="323" t="s">
        <v>460</v>
      </c>
      <c r="J126" s="73">
        <v>42370</v>
      </c>
      <c r="K126" s="133">
        <v>36</v>
      </c>
      <c r="M126" s="323" t="s">
        <v>159</v>
      </c>
      <c r="N126" s="323" t="s">
        <v>160</v>
      </c>
      <c r="O126" s="323" t="s">
        <v>151</v>
      </c>
      <c r="P126" s="133">
        <v>127</v>
      </c>
      <c r="Q126" s="133">
        <v>649</v>
      </c>
      <c r="U126" s="323" t="s">
        <v>153</v>
      </c>
    </row>
    <row r="127" spans="1:21" x14ac:dyDescent="0.3">
      <c r="A127" s="323" t="s">
        <v>151</v>
      </c>
      <c r="B127" s="323" t="s">
        <v>160</v>
      </c>
      <c r="G127" s="323" t="s">
        <v>205</v>
      </c>
      <c r="H127" s="323" t="s">
        <v>390</v>
      </c>
      <c r="I127" s="323" t="s">
        <v>775</v>
      </c>
      <c r="J127" s="323" t="s">
        <v>1221</v>
      </c>
      <c r="K127" s="133"/>
      <c r="M127" s="323" t="s">
        <v>155</v>
      </c>
      <c r="N127" s="323" t="s">
        <v>156</v>
      </c>
      <c r="O127" s="323" t="s">
        <v>151</v>
      </c>
      <c r="P127" s="133">
        <v>175</v>
      </c>
      <c r="Q127" s="133">
        <v>834</v>
      </c>
      <c r="U127" s="323" t="s">
        <v>159</v>
      </c>
    </row>
    <row r="128" spans="1:21" x14ac:dyDescent="0.3">
      <c r="A128" s="323" t="s">
        <v>151</v>
      </c>
      <c r="B128" s="323" t="s">
        <v>154</v>
      </c>
      <c r="G128" s="323" t="s">
        <v>160</v>
      </c>
      <c r="H128" s="323" t="s">
        <v>159</v>
      </c>
      <c r="I128" s="323" t="s">
        <v>460</v>
      </c>
      <c r="J128" s="73">
        <v>40940</v>
      </c>
      <c r="K128" s="133">
        <v>127</v>
      </c>
      <c r="M128" s="323" t="s">
        <v>157</v>
      </c>
      <c r="N128" s="323" t="s">
        <v>158</v>
      </c>
      <c r="O128" s="323" t="s">
        <v>151</v>
      </c>
      <c r="P128" s="133">
        <v>0</v>
      </c>
      <c r="Q128" s="133">
        <v>0</v>
      </c>
      <c r="U128" s="323" t="s">
        <v>155</v>
      </c>
    </row>
    <row r="129" spans="1:21" x14ac:dyDescent="0.3">
      <c r="A129" s="323" t="s">
        <v>151</v>
      </c>
      <c r="B129" s="323" t="s">
        <v>156</v>
      </c>
      <c r="G129" s="323" t="s">
        <v>938</v>
      </c>
      <c r="H129" s="323" t="s">
        <v>939</v>
      </c>
      <c r="I129" s="323" t="s">
        <v>460</v>
      </c>
      <c r="J129" s="73">
        <v>41730</v>
      </c>
      <c r="K129" s="133">
        <v>154</v>
      </c>
      <c r="M129" s="323" t="s">
        <v>161</v>
      </c>
      <c r="N129" s="323" t="s">
        <v>162</v>
      </c>
      <c r="O129" s="323" t="s">
        <v>151</v>
      </c>
      <c r="P129" s="133">
        <v>0</v>
      </c>
      <c r="Q129" s="133">
        <v>0</v>
      </c>
      <c r="U129" s="323" t="s">
        <v>157</v>
      </c>
    </row>
    <row r="130" spans="1:21" x14ac:dyDescent="0.3">
      <c r="A130" s="323" t="s">
        <v>151</v>
      </c>
      <c r="B130" s="323" t="s">
        <v>152</v>
      </c>
      <c r="G130" s="323" t="s">
        <v>154</v>
      </c>
      <c r="H130" s="323" t="s">
        <v>153</v>
      </c>
      <c r="I130" s="323" t="s">
        <v>460</v>
      </c>
      <c r="J130" s="73">
        <v>40848</v>
      </c>
      <c r="K130" s="133">
        <v>446</v>
      </c>
      <c r="M130" s="323" t="s">
        <v>163</v>
      </c>
      <c r="N130" s="323" t="s">
        <v>164</v>
      </c>
      <c r="O130" s="323" t="s">
        <v>151</v>
      </c>
      <c r="P130" s="133">
        <v>0</v>
      </c>
      <c r="Q130" s="133">
        <v>0</v>
      </c>
      <c r="U130" s="323" t="s">
        <v>161</v>
      </c>
    </row>
    <row r="131" spans="1:21" x14ac:dyDescent="0.3">
      <c r="A131" s="323" t="s">
        <v>151</v>
      </c>
      <c r="B131" s="323" t="s">
        <v>295</v>
      </c>
      <c r="G131" s="323" t="s">
        <v>911</v>
      </c>
      <c r="H131" s="323" t="s">
        <v>912</v>
      </c>
      <c r="I131" s="323" t="s">
        <v>460</v>
      </c>
      <c r="J131" s="73">
        <v>41791</v>
      </c>
      <c r="K131" s="133">
        <v>156</v>
      </c>
      <c r="M131" s="323" t="s">
        <v>360</v>
      </c>
      <c r="N131" s="323" t="s">
        <v>35</v>
      </c>
      <c r="O131" s="323" t="s">
        <v>361</v>
      </c>
      <c r="P131" s="133">
        <v>0</v>
      </c>
      <c r="Q131" s="133">
        <v>0</v>
      </c>
      <c r="U131" s="323" t="s">
        <v>163</v>
      </c>
    </row>
    <row r="132" spans="1:21" x14ac:dyDescent="0.3">
      <c r="A132" s="323" t="s">
        <v>151</v>
      </c>
      <c r="B132" s="323" t="s">
        <v>471</v>
      </c>
      <c r="G132" s="323" t="s">
        <v>156</v>
      </c>
      <c r="H132" s="323" t="s">
        <v>155</v>
      </c>
      <c r="I132" s="323" t="s">
        <v>460</v>
      </c>
      <c r="J132" s="323" t="s">
        <v>1221</v>
      </c>
      <c r="K132" s="133">
        <v>175</v>
      </c>
      <c r="M132" s="323" t="s">
        <v>302</v>
      </c>
      <c r="N132" s="323" t="s">
        <v>303</v>
      </c>
      <c r="O132" s="323" t="s">
        <v>237</v>
      </c>
      <c r="P132" s="133">
        <v>375</v>
      </c>
      <c r="Q132" s="133">
        <v>1691</v>
      </c>
      <c r="U132" s="323" t="s">
        <v>360</v>
      </c>
    </row>
    <row r="133" spans="1:21" x14ac:dyDescent="0.3">
      <c r="A133" s="323" t="s">
        <v>151</v>
      </c>
      <c r="B133" s="323" t="s">
        <v>162</v>
      </c>
      <c r="G133" s="323" t="s">
        <v>331</v>
      </c>
      <c r="H133" s="323" t="s">
        <v>330</v>
      </c>
      <c r="I133" s="323" t="s">
        <v>775</v>
      </c>
      <c r="J133" s="323" t="s">
        <v>1221</v>
      </c>
      <c r="K133" s="133">
        <v>0</v>
      </c>
      <c r="M133" s="323" t="s">
        <v>87</v>
      </c>
      <c r="N133" s="323" t="s">
        <v>88</v>
      </c>
      <c r="O133" s="323" t="s">
        <v>480</v>
      </c>
      <c r="P133" s="133">
        <v>13</v>
      </c>
      <c r="Q133" s="133">
        <v>46</v>
      </c>
      <c r="U133" s="323" t="s">
        <v>302</v>
      </c>
    </row>
    <row r="134" spans="1:21" x14ac:dyDescent="0.3">
      <c r="A134" s="323" t="s">
        <v>151</v>
      </c>
      <c r="B134" s="323" t="s">
        <v>791</v>
      </c>
      <c r="G134" s="323" t="s">
        <v>207</v>
      </c>
      <c r="H134" s="323" t="s">
        <v>206</v>
      </c>
      <c r="I134" s="323" t="s">
        <v>775</v>
      </c>
      <c r="J134" s="73">
        <v>40817</v>
      </c>
      <c r="K134" s="133"/>
      <c r="M134" s="323" t="s">
        <v>285</v>
      </c>
      <c r="N134" s="323" t="s">
        <v>286</v>
      </c>
      <c r="O134" s="323" t="s">
        <v>180</v>
      </c>
      <c r="P134" s="133">
        <v>24</v>
      </c>
      <c r="Q134" s="133">
        <v>115</v>
      </c>
      <c r="U134" s="323" t="s">
        <v>87</v>
      </c>
    </row>
    <row r="135" spans="1:21" x14ac:dyDescent="0.3">
      <c r="A135" s="323" t="s">
        <v>151</v>
      </c>
      <c r="B135" s="323" t="s">
        <v>792</v>
      </c>
      <c r="G135" s="323" t="s">
        <v>167</v>
      </c>
      <c r="H135" s="323" t="s">
        <v>165</v>
      </c>
      <c r="I135" s="323" t="s">
        <v>460</v>
      </c>
      <c r="J135" s="73">
        <v>41000</v>
      </c>
      <c r="K135" s="133">
        <v>33</v>
      </c>
      <c r="M135" s="323" t="s">
        <v>9</v>
      </c>
      <c r="N135" s="323" t="s">
        <v>10</v>
      </c>
      <c r="O135" s="323" t="s">
        <v>5</v>
      </c>
      <c r="P135" s="133">
        <v>0</v>
      </c>
      <c r="Q135" s="133">
        <v>0</v>
      </c>
      <c r="U135" s="323" t="s">
        <v>285</v>
      </c>
    </row>
    <row r="136" spans="1:21" x14ac:dyDescent="0.3">
      <c r="A136" s="323" t="s">
        <v>151</v>
      </c>
      <c r="B136" s="323" t="s">
        <v>164</v>
      </c>
      <c r="G136" s="323" t="s">
        <v>760</v>
      </c>
      <c r="H136" s="323" t="s">
        <v>761</v>
      </c>
      <c r="I136" s="323" t="s">
        <v>460</v>
      </c>
      <c r="J136" s="73">
        <v>41030</v>
      </c>
      <c r="K136" s="133">
        <v>29</v>
      </c>
      <c r="M136" s="323" t="s">
        <v>352</v>
      </c>
      <c r="N136" s="323" t="s">
        <v>353</v>
      </c>
      <c r="O136" s="323" t="s">
        <v>309</v>
      </c>
      <c r="P136" s="133">
        <v>88</v>
      </c>
      <c r="Q136" s="133">
        <v>558</v>
      </c>
      <c r="U136" s="323" t="s">
        <v>9</v>
      </c>
    </row>
    <row r="137" spans="1:21" x14ac:dyDescent="0.3">
      <c r="A137" s="323" t="s">
        <v>151</v>
      </c>
      <c r="B137" s="323" t="s">
        <v>813</v>
      </c>
      <c r="G137" s="323" t="s">
        <v>152</v>
      </c>
      <c r="H137" s="323" t="s">
        <v>150</v>
      </c>
      <c r="I137" s="323" t="s">
        <v>460</v>
      </c>
      <c r="J137" s="73">
        <v>41579</v>
      </c>
      <c r="K137" s="133">
        <v>185</v>
      </c>
      <c r="M137" s="323" t="s">
        <v>271</v>
      </c>
      <c r="N137" s="323" t="s">
        <v>272</v>
      </c>
      <c r="O137" s="323" t="s">
        <v>237</v>
      </c>
      <c r="P137" s="133">
        <v>75</v>
      </c>
      <c r="Q137" s="133">
        <v>414</v>
      </c>
      <c r="U137" s="323" t="s">
        <v>352</v>
      </c>
    </row>
    <row r="138" spans="1:21" x14ac:dyDescent="0.3">
      <c r="A138" s="323" t="s">
        <v>151</v>
      </c>
      <c r="B138" s="323" t="s">
        <v>847</v>
      </c>
      <c r="G138" s="323" t="s">
        <v>54</v>
      </c>
      <c r="H138" s="323" t="s">
        <v>53</v>
      </c>
      <c r="I138" s="323" t="s">
        <v>775</v>
      </c>
      <c r="J138" s="323" t="s">
        <v>1221</v>
      </c>
      <c r="K138" s="133">
        <v>0</v>
      </c>
      <c r="M138" s="323" t="s">
        <v>11</v>
      </c>
      <c r="N138" s="323" t="s">
        <v>12</v>
      </c>
      <c r="O138" s="323" t="s">
        <v>5</v>
      </c>
      <c r="P138" s="133">
        <v>190</v>
      </c>
      <c r="Q138" s="133">
        <v>928</v>
      </c>
      <c r="U138" s="323" t="s">
        <v>271</v>
      </c>
    </row>
    <row r="139" spans="1:21" x14ac:dyDescent="0.3">
      <c r="A139" s="323" t="s">
        <v>151</v>
      </c>
      <c r="B139" s="323" t="s">
        <v>888</v>
      </c>
      <c r="G139" s="323" t="s">
        <v>66</v>
      </c>
      <c r="H139" s="323" t="s">
        <v>65</v>
      </c>
      <c r="I139" s="323" t="s">
        <v>775</v>
      </c>
      <c r="J139" s="323" t="s">
        <v>1221</v>
      </c>
      <c r="K139" s="133">
        <v>0</v>
      </c>
      <c r="M139" s="323" t="s">
        <v>91</v>
      </c>
      <c r="N139" s="323" t="s">
        <v>92</v>
      </c>
      <c r="O139" s="323" t="s">
        <v>480</v>
      </c>
      <c r="P139" s="133">
        <v>12</v>
      </c>
      <c r="Q139" s="133">
        <v>61</v>
      </c>
      <c r="U139" s="323" t="s">
        <v>11</v>
      </c>
    </row>
    <row r="140" spans="1:21" x14ac:dyDescent="0.3">
      <c r="A140" s="323" t="s">
        <v>151</v>
      </c>
      <c r="B140" s="323" t="s">
        <v>911</v>
      </c>
      <c r="G140" s="323" t="s">
        <v>80</v>
      </c>
      <c r="H140" s="323" t="s">
        <v>79</v>
      </c>
      <c r="I140" s="323" t="s">
        <v>775</v>
      </c>
      <c r="J140" s="323" t="s">
        <v>1221</v>
      </c>
      <c r="K140" s="133">
        <v>0</v>
      </c>
      <c r="M140" s="323" t="s">
        <v>119</v>
      </c>
      <c r="N140" s="323" t="s">
        <v>120</v>
      </c>
      <c r="O140" s="323" t="s">
        <v>480</v>
      </c>
      <c r="P140" s="133">
        <v>64</v>
      </c>
      <c r="Q140" s="133">
        <v>324</v>
      </c>
      <c r="U140" s="323" t="s">
        <v>91</v>
      </c>
    </row>
    <row r="141" spans="1:21" x14ac:dyDescent="0.3">
      <c r="A141" s="323" t="s">
        <v>151</v>
      </c>
      <c r="B141" s="323" t="s">
        <v>938</v>
      </c>
      <c r="G141" s="323" t="s">
        <v>102</v>
      </c>
      <c r="H141" s="323" t="s">
        <v>101</v>
      </c>
      <c r="I141" s="323" t="s">
        <v>775</v>
      </c>
      <c r="J141" s="323" t="s">
        <v>1221</v>
      </c>
      <c r="K141" s="133">
        <v>0</v>
      </c>
      <c r="M141" s="323" t="s">
        <v>51</v>
      </c>
      <c r="N141" s="323" t="s">
        <v>52</v>
      </c>
      <c r="O141" s="323" t="s">
        <v>480</v>
      </c>
      <c r="P141" s="133">
        <v>36</v>
      </c>
      <c r="Q141" s="133">
        <v>228</v>
      </c>
      <c r="U141" s="323" t="s">
        <v>119</v>
      </c>
    </row>
    <row r="142" spans="1:21" x14ac:dyDescent="0.3">
      <c r="A142" s="323" t="s">
        <v>166</v>
      </c>
      <c r="B142" s="323" t="s">
        <v>167</v>
      </c>
      <c r="G142" s="323" t="s">
        <v>106</v>
      </c>
      <c r="H142" s="323" t="s">
        <v>105</v>
      </c>
      <c r="I142" s="323" t="s">
        <v>775</v>
      </c>
      <c r="J142" s="323" t="s">
        <v>1221</v>
      </c>
      <c r="K142" s="133">
        <v>0</v>
      </c>
      <c r="M142" s="323" t="s">
        <v>47</v>
      </c>
      <c r="N142" s="323" t="s">
        <v>48</v>
      </c>
      <c r="O142" s="323" t="s">
        <v>480</v>
      </c>
      <c r="P142" s="133"/>
      <c r="Q142" s="133"/>
      <c r="U142" s="323" t="s">
        <v>51</v>
      </c>
    </row>
    <row r="143" spans="1:21" x14ac:dyDescent="0.3">
      <c r="A143" s="323" t="s">
        <v>166</v>
      </c>
      <c r="B143" s="323" t="s">
        <v>760</v>
      </c>
      <c r="G143" s="323" t="s">
        <v>116</v>
      </c>
      <c r="H143" s="323" t="s">
        <v>115</v>
      </c>
      <c r="I143" s="323" t="s">
        <v>775</v>
      </c>
      <c r="J143" s="323" t="s">
        <v>1221</v>
      </c>
      <c r="K143" s="133">
        <v>0</v>
      </c>
      <c r="M143" s="323" t="s">
        <v>127</v>
      </c>
      <c r="N143" s="323" t="s">
        <v>128</v>
      </c>
      <c r="O143" s="323" t="s">
        <v>480</v>
      </c>
      <c r="P143" s="133">
        <v>0</v>
      </c>
      <c r="Q143" s="133">
        <v>0</v>
      </c>
      <c r="U143" s="323" t="s">
        <v>47</v>
      </c>
    </row>
    <row r="144" spans="1:21" x14ac:dyDescent="0.3">
      <c r="A144" s="323" t="s">
        <v>166</v>
      </c>
      <c r="B144" s="323" t="s">
        <v>1141</v>
      </c>
      <c r="G144" s="323" t="s">
        <v>130</v>
      </c>
      <c r="H144" s="323" t="s">
        <v>129</v>
      </c>
      <c r="I144" s="323" t="s">
        <v>775</v>
      </c>
      <c r="J144" s="323" t="s">
        <v>1221</v>
      </c>
      <c r="K144" s="133">
        <v>0</v>
      </c>
      <c r="M144" s="323" t="s">
        <v>59</v>
      </c>
      <c r="N144" s="323" t="s">
        <v>60</v>
      </c>
      <c r="O144" s="323" t="s">
        <v>480</v>
      </c>
      <c r="P144" s="133"/>
      <c r="Q144" s="133"/>
      <c r="U144" s="323" t="s">
        <v>127</v>
      </c>
    </row>
    <row r="145" spans="1:21" x14ac:dyDescent="0.3">
      <c r="A145" s="323" t="s">
        <v>173</v>
      </c>
      <c r="B145" s="323" t="s">
        <v>174</v>
      </c>
      <c r="G145" s="323" t="s">
        <v>138</v>
      </c>
      <c r="H145" s="323" t="s">
        <v>137</v>
      </c>
      <c r="I145" s="323" t="s">
        <v>775</v>
      </c>
      <c r="J145" s="323" t="s">
        <v>1221</v>
      </c>
      <c r="K145" s="133">
        <v>0</v>
      </c>
      <c r="M145" s="323" t="s">
        <v>38</v>
      </c>
      <c r="N145" s="323" t="s">
        <v>39</v>
      </c>
      <c r="O145" s="323" t="s">
        <v>480</v>
      </c>
      <c r="P145" s="133"/>
      <c r="Q145" s="133"/>
      <c r="U145" s="323" t="s">
        <v>59</v>
      </c>
    </row>
    <row r="146" spans="1:21" x14ac:dyDescent="0.3">
      <c r="A146" s="323" t="s">
        <v>173</v>
      </c>
      <c r="B146" s="323" t="s">
        <v>178</v>
      </c>
      <c r="G146" s="323" t="s">
        <v>262</v>
      </c>
      <c r="H146" s="323" t="s">
        <v>261</v>
      </c>
      <c r="I146" s="323" t="s">
        <v>460</v>
      </c>
      <c r="J146" s="73">
        <v>40817</v>
      </c>
      <c r="K146" s="133">
        <v>24</v>
      </c>
      <c r="M146" s="323" t="s">
        <v>75</v>
      </c>
      <c r="N146" s="323" t="s">
        <v>76</v>
      </c>
      <c r="O146" s="323" t="s">
        <v>480</v>
      </c>
      <c r="P146" s="133">
        <v>70</v>
      </c>
      <c r="Q146" s="133">
        <v>375</v>
      </c>
      <c r="U146" s="323" t="s">
        <v>38</v>
      </c>
    </row>
    <row r="147" spans="1:21" x14ac:dyDescent="0.3">
      <c r="A147" s="323" t="s">
        <v>173</v>
      </c>
      <c r="B147" s="323" t="s">
        <v>1063</v>
      </c>
      <c r="G147" s="323" t="s">
        <v>264</v>
      </c>
      <c r="H147" s="323" t="s">
        <v>263</v>
      </c>
      <c r="I147" s="323" t="s">
        <v>460</v>
      </c>
      <c r="J147" s="73">
        <v>40817</v>
      </c>
      <c r="K147" s="133">
        <v>14</v>
      </c>
      <c r="M147" s="323" t="s">
        <v>73</v>
      </c>
      <c r="N147" s="323" t="s">
        <v>74</v>
      </c>
      <c r="O147" s="323" t="s">
        <v>480</v>
      </c>
      <c r="P147" s="133"/>
      <c r="Q147" s="133"/>
      <c r="U147" s="323" t="s">
        <v>75</v>
      </c>
    </row>
    <row r="148" spans="1:21" x14ac:dyDescent="0.3">
      <c r="A148" s="323" t="s">
        <v>173</v>
      </c>
      <c r="B148" s="323" t="s">
        <v>1062</v>
      </c>
      <c r="G148" s="323" t="s">
        <v>136</v>
      </c>
      <c r="H148" s="323" t="s">
        <v>135</v>
      </c>
      <c r="I148" s="323" t="s">
        <v>775</v>
      </c>
      <c r="J148" s="323" t="s">
        <v>1221</v>
      </c>
      <c r="K148" s="133">
        <v>0</v>
      </c>
      <c r="M148" s="323" t="s">
        <v>40</v>
      </c>
      <c r="N148" s="323" t="s">
        <v>41</v>
      </c>
      <c r="O148" s="323" t="s">
        <v>480</v>
      </c>
      <c r="P148" s="133">
        <v>65</v>
      </c>
      <c r="Q148" s="133">
        <v>353</v>
      </c>
      <c r="U148" s="323" t="s">
        <v>73</v>
      </c>
    </row>
    <row r="149" spans="1:21" x14ac:dyDescent="0.3">
      <c r="A149" s="323" t="s">
        <v>173</v>
      </c>
      <c r="B149" s="323" t="s">
        <v>1054</v>
      </c>
      <c r="G149" s="323" t="s">
        <v>68</v>
      </c>
      <c r="H149" s="323" t="s">
        <v>67</v>
      </c>
      <c r="I149" s="323" t="s">
        <v>775</v>
      </c>
      <c r="J149" s="323" t="s">
        <v>1221</v>
      </c>
      <c r="K149" s="133">
        <v>0</v>
      </c>
      <c r="M149" s="323" t="s">
        <v>141</v>
      </c>
      <c r="N149" s="323" t="s">
        <v>142</v>
      </c>
      <c r="O149" s="323" t="s">
        <v>480</v>
      </c>
      <c r="P149" s="133">
        <v>0</v>
      </c>
      <c r="Q149" s="133">
        <v>0</v>
      </c>
      <c r="U149" s="323" t="s">
        <v>40</v>
      </c>
    </row>
    <row r="150" spans="1:21" x14ac:dyDescent="0.3">
      <c r="A150" s="323" t="s">
        <v>173</v>
      </c>
      <c r="B150" s="323" t="s">
        <v>1502</v>
      </c>
      <c r="G150" s="323" t="s">
        <v>84</v>
      </c>
      <c r="H150" s="323" t="s">
        <v>83</v>
      </c>
      <c r="I150" s="323" t="s">
        <v>775</v>
      </c>
      <c r="J150" s="323" t="s">
        <v>1221</v>
      </c>
      <c r="K150" s="133">
        <v>0</v>
      </c>
      <c r="M150" s="323" t="s">
        <v>97</v>
      </c>
      <c r="N150" s="323" t="s">
        <v>98</v>
      </c>
      <c r="O150" s="323" t="s">
        <v>480</v>
      </c>
      <c r="P150" s="133">
        <v>0</v>
      </c>
      <c r="Q150" s="133">
        <v>0</v>
      </c>
      <c r="U150" s="323" t="s">
        <v>141</v>
      </c>
    </row>
    <row r="151" spans="1:21" x14ac:dyDescent="0.3">
      <c r="A151" s="323" t="s">
        <v>173</v>
      </c>
      <c r="B151" s="323" t="s">
        <v>1534</v>
      </c>
      <c r="G151" s="323" t="s">
        <v>86</v>
      </c>
      <c r="H151" s="323" t="s">
        <v>85</v>
      </c>
      <c r="I151" s="323" t="s">
        <v>775</v>
      </c>
      <c r="J151" s="323" t="s">
        <v>1221</v>
      </c>
      <c r="K151" s="133">
        <v>0</v>
      </c>
      <c r="M151" s="323" t="s">
        <v>61</v>
      </c>
      <c r="N151" s="323" t="s">
        <v>62</v>
      </c>
      <c r="O151" s="323" t="s">
        <v>480</v>
      </c>
      <c r="P151" s="133"/>
      <c r="Q151" s="133"/>
      <c r="U151" s="323" t="s">
        <v>97</v>
      </c>
    </row>
    <row r="152" spans="1:21" x14ac:dyDescent="0.3">
      <c r="A152" s="323" t="s">
        <v>173</v>
      </c>
      <c r="B152" s="323" t="s">
        <v>1851</v>
      </c>
      <c r="G152" s="323" t="s">
        <v>100</v>
      </c>
      <c r="H152" s="323" t="s">
        <v>99</v>
      </c>
      <c r="I152" s="323" t="s">
        <v>460</v>
      </c>
      <c r="J152" s="73">
        <v>41122</v>
      </c>
      <c r="K152" s="133">
        <v>4</v>
      </c>
      <c r="M152" s="323" t="s">
        <v>77</v>
      </c>
      <c r="N152" s="323" t="s">
        <v>78</v>
      </c>
      <c r="O152" s="323" t="s">
        <v>480</v>
      </c>
      <c r="P152" s="133"/>
      <c r="Q152" s="133"/>
      <c r="U152" s="323" t="s">
        <v>61</v>
      </c>
    </row>
    <row r="153" spans="1:21" x14ac:dyDescent="0.3">
      <c r="A153" s="323" t="s">
        <v>173</v>
      </c>
      <c r="B153" s="323" t="s">
        <v>1852</v>
      </c>
      <c r="G153" s="323" t="s">
        <v>104</v>
      </c>
      <c r="H153" s="323" t="s">
        <v>103</v>
      </c>
      <c r="I153" s="323" t="s">
        <v>775</v>
      </c>
      <c r="J153" s="323" t="s">
        <v>1221</v>
      </c>
      <c r="K153" s="133">
        <v>0</v>
      </c>
      <c r="M153" s="323" t="s">
        <v>89</v>
      </c>
      <c r="N153" s="323" t="s">
        <v>90</v>
      </c>
      <c r="O153" s="323" t="s">
        <v>480</v>
      </c>
      <c r="P153" s="133">
        <v>19</v>
      </c>
      <c r="Q153" s="133">
        <v>102</v>
      </c>
      <c r="U153" s="323" t="s">
        <v>77</v>
      </c>
    </row>
    <row r="154" spans="1:21" x14ac:dyDescent="0.3">
      <c r="A154" s="323" t="s">
        <v>173</v>
      </c>
      <c r="B154" s="323" t="s">
        <v>1853</v>
      </c>
      <c r="G154" s="323" t="s">
        <v>98</v>
      </c>
      <c r="H154" s="323" t="s">
        <v>97</v>
      </c>
      <c r="I154" s="323" t="s">
        <v>775</v>
      </c>
      <c r="J154" s="323" t="s">
        <v>1221</v>
      </c>
      <c r="K154" s="133">
        <v>0</v>
      </c>
      <c r="M154" s="323" t="s">
        <v>117</v>
      </c>
      <c r="N154" s="323" t="s">
        <v>118</v>
      </c>
      <c r="O154" s="323" t="s">
        <v>480</v>
      </c>
      <c r="P154" s="133">
        <v>10</v>
      </c>
      <c r="Q154" s="133">
        <v>39</v>
      </c>
      <c r="U154" s="323" t="s">
        <v>89</v>
      </c>
    </row>
    <row r="155" spans="1:21" x14ac:dyDescent="0.3">
      <c r="A155" s="323" t="s">
        <v>173</v>
      </c>
      <c r="B155" s="323" t="s">
        <v>1856</v>
      </c>
      <c r="G155" s="323" t="s">
        <v>1650</v>
      </c>
      <c r="H155" s="323" t="s">
        <v>383</v>
      </c>
      <c r="I155" s="323" t="s">
        <v>460</v>
      </c>
      <c r="J155" s="73">
        <v>41275</v>
      </c>
      <c r="K155" s="133">
        <v>76</v>
      </c>
      <c r="M155" s="323" t="s">
        <v>123</v>
      </c>
      <c r="N155" s="323" t="s">
        <v>124</v>
      </c>
      <c r="O155" s="323" t="s">
        <v>480</v>
      </c>
      <c r="P155" s="133">
        <v>8</v>
      </c>
      <c r="Q155" s="133">
        <v>32</v>
      </c>
      <c r="U155" s="323" t="s">
        <v>117</v>
      </c>
    </row>
    <row r="156" spans="1:21" x14ac:dyDescent="0.3">
      <c r="A156" s="323" t="s">
        <v>180</v>
      </c>
      <c r="B156" s="323" t="s">
        <v>183</v>
      </c>
      <c r="G156" s="323" t="s">
        <v>985</v>
      </c>
      <c r="H156" s="323" t="s">
        <v>987</v>
      </c>
      <c r="I156" s="323" t="s">
        <v>460</v>
      </c>
      <c r="J156" s="73">
        <v>41275</v>
      </c>
      <c r="K156" s="133">
        <v>14</v>
      </c>
      <c r="M156" s="323" t="s">
        <v>125</v>
      </c>
      <c r="N156" s="323" t="s">
        <v>126</v>
      </c>
      <c r="O156" s="323" t="s">
        <v>480</v>
      </c>
      <c r="P156" s="133">
        <v>32</v>
      </c>
      <c r="Q156" s="133">
        <v>180</v>
      </c>
      <c r="U156" s="323" t="s">
        <v>123</v>
      </c>
    </row>
    <row r="157" spans="1:21" x14ac:dyDescent="0.3">
      <c r="A157" s="323" t="s">
        <v>180</v>
      </c>
      <c r="B157" s="323" t="s">
        <v>286</v>
      </c>
      <c r="G157" s="323" t="s">
        <v>1033</v>
      </c>
      <c r="H157" s="323" t="s">
        <v>357</v>
      </c>
      <c r="I157" s="323" t="s">
        <v>775</v>
      </c>
      <c r="J157" s="323" t="s">
        <v>1221</v>
      </c>
      <c r="K157" s="133"/>
      <c r="M157" s="323" t="s">
        <v>63</v>
      </c>
      <c r="N157" s="323" t="s">
        <v>64</v>
      </c>
      <c r="O157" s="323" t="s">
        <v>480</v>
      </c>
      <c r="P157" s="133"/>
      <c r="Q157" s="133"/>
      <c r="U157" s="323" t="s">
        <v>125</v>
      </c>
    </row>
    <row r="158" spans="1:21" x14ac:dyDescent="0.3">
      <c r="A158" s="323" t="s">
        <v>180</v>
      </c>
      <c r="B158" s="323" t="s">
        <v>181</v>
      </c>
      <c r="G158" s="323" t="s">
        <v>209</v>
      </c>
      <c r="H158" s="323" t="s">
        <v>208</v>
      </c>
      <c r="I158" s="323" t="s">
        <v>460</v>
      </c>
      <c r="J158" s="73">
        <v>40695</v>
      </c>
      <c r="K158" s="133">
        <v>415</v>
      </c>
      <c r="M158" s="323" t="s">
        <v>81</v>
      </c>
      <c r="N158" s="323" t="s">
        <v>82</v>
      </c>
      <c r="O158" s="323" t="s">
        <v>480</v>
      </c>
      <c r="P158" s="133"/>
      <c r="Q158" s="133"/>
      <c r="U158" s="323" t="s">
        <v>63</v>
      </c>
    </row>
    <row r="159" spans="1:21" x14ac:dyDescent="0.3">
      <c r="A159" s="323" t="s">
        <v>180</v>
      </c>
      <c r="B159" s="323" t="s">
        <v>984</v>
      </c>
      <c r="G159" s="323" t="s">
        <v>211</v>
      </c>
      <c r="H159" s="323" t="s">
        <v>210</v>
      </c>
      <c r="I159" s="323" t="s">
        <v>775</v>
      </c>
      <c r="J159" s="73">
        <v>40756</v>
      </c>
      <c r="K159" s="133"/>
      <c r="M159" s="323" t="s">
        <v>57</v>
      </c>
      <c r="N159" s="323" t="s">
        <v>58</v>
      </c>
      <c r="O159" s="323" t="s">
        <v>480</v>
      </c>
      <c r="P159" s="133"/>
      <c r="Q159" s="133"/>
      <c r="U159" s="323" t="s">
        <v>81</v>
      </c>
    </row>
    <row r="160" spans="1:21" x14ac:dyDescent="0.3">
      <c r="A160" s="323" t="s">
        <v>180</v>
      </c>
      <c r="B160" s="323" t="s">
        <v>985</v>
      </c>
      <c r="G160" s="323" t="s">
        <v>1209</v>
      </c>
      <c r="H160" s="323" t="s">
        <v>1176</v>
      </c>
      <c r="I160" s="323" t="s">
        <v>775</v>
      </c>
      <c r="J160" s="323" t="s">
        <v>1221</v>
      </c>
      <c r="K160" s="133"/>
      <c r="M160" s="323" t="s">
        <v>55</v>
      </c>
      <c r="N160" s="323" t="s">
        <v>56</v>
      </c>
      <c r="O160" s="323" t="s">
        <v>480</v>
      </c>
      <c r="P160" s="133">
        <v>0</v>
      </c>
      <c r="Q160" s="133">
        <v>0</v>
      </c>
      <c r="U160" s="323" t="s">
        <v>57</v>
      </c>
    </row>
    <row r="161" spans="1:21" x14ac:dyDescent="0.3">
      <c r="A161" s="323" t="s">
        <v>185</v>
      </c>
      <c r="B161" s="323" t="s">
        <v>192</v>
      </c>
      <c r="G161" s="323" t="s">
        <v>1131</v>
      </c>
      <c r="H161" s="323" t="s">
        <v>1125</v>
      </c>
      <c r="I161" s="323" t="s">
        <v>460</v>
      </c>
      <c r="J161" s="73">
        <v>42430</v>
      </c>
      <c r="K161" s="133">
        <v>61</v>
      </c>
      <c r="M161" s="323" t="s">
        <v>42</v>
      </c>
      <c r="N161" s="323" t="s">
        <v>43</v>
      </c>
      <c r="O161" s="323" t="s">
        <v>480</v>
      </c>
      <c r="P161" s="133">
        <v>14</v>
      </c>
      <c r="Q161" s="133">
        <v>81</v>
      </c>
      <c r="U161" s="323" t="s">
        <v>55</v>
      </c>
    </row>
    <row r="162" spans="1:21" x14ac:dyDescent="0.3">
      <c r="A162" s="323" t="s">
        <v>185</v>
      </c>
      <c r="B162" s="323" t="s">
        <v>12</v>
      </c>
      <c r="G162" s="323" t="s">
        <v>1130</v>
      </c>
      <c r="H162" s="323" t="s">
        <v>1124</v>
      </c>
      <c r="I162" s="323" t="s">
        <v>775</v>
      </c>
      <c r="J162" s="73">
        <v>42401</v>
      </c>
      <c r="K162" s="133"/>
      <c r="M162" s="323" t="s">
        <v>45</v>
      </c>
      <c r="N162" s="323" t="s">
        <v>44</v>
      </c>
      <c r="O162" s="323" t="s">
        <v>480</v>
      </c>
      <c r="P162" s="133">
        <v>4</v>
      </c>
      <c r="Q162" s="133">
        <v>27</v>
      </c>
      <c r="U162" s="323" t="s">
        <v>42</v>
      </c>
    </row>
    <row r="163" spans="1:21" x14ac:dyDescent="0.3">
      <c r="A163" s="323" t="s">
        <v>185</v>
      </c>
      <c r="B163" s="323" t="s">
        <v>194</v>
      </c>
      <c r="G163" s="323" t="s">
        <v>233</v>
      </c>
      <c r="H163" s="323" t="s">
        <v>232</v>
      </c>
      <c r="I163" s="323" t="s">
        <v>775</v>
      </c>
      <c r="J163" s="73">
        <v>41091</v>
      </c>
      <c r="K163" s="133"/>
      <c r="M163" s="323" t="s">
        <v>46</v>
      </c>
      <c r="N163" s="323" t="s">
        <v>551</v>
      </c>
      <c r="O163" s="323" t="s">
        <v>480</v>
      </c>
      <c r="P163" s="133">
        <v>11</v>
      </c>
      <c r="Q163" s="133">
        <v>46</v>
      </c>
      <c r="U163" s="323" t="s">
        <v>45</v>
      </c>
    </row>
    <row r="164" spans="1:21" x14ac:dyDescent="0.3">
      <c r="A164" s="323" t="s">
        <v>185</v>
      </c>
      <c r="B164" s="323" t="s">
        <v>196</v>
      </c>
      <c r="G164" s="323" t="s">
        <v>235</v>
      </c>
      <c r="H164" s="323" t="s">
        <v>234</v>
      </c>
      <c r="I164" s="323" t="s">
        <v>775</v>
      </c>
      <c r="J164" s="323" t="s">
        <v>1221</v>
      </c>
      <c r="K164" s="133"/>
      <c r="M164" s="323" t="s">
        <v>374</v>
      </c>
      <c r="N164" s="323" t="s">
        <v>364</v>
      </c>
      <c r="O164" s="323" t="s">
        <v>5</v>
      </c>
      <c r="P164" s="133">
        <v>147</v>
      </c>
      <c r="Q164" s="133">
        <v>771</v>
      </c>
      <c r="U164" s="323" t="s">
        <v>46</v>
      </c>
    </row>
    <row r="165" spans="1:21" x14ac:dyDescent="0.3">
      <c r="A165" s="323" t="s">
        <v>185</v>
      </c>
      <c r="B165" s="323" t="s">
        <v>474</v>
      </c>
      <c r="G165" s="323" t="s">
        <v>295</v>
      </c>
      <c r="H165" s="323" t="s">
        <v>1133</v>
      </c>
      <c r="I165" s="323" t="s">
        <v>775</v>
      </c>
      <c r="J165" s="323" t="s">
        <v>1221</v>
      </c>
      <c r="K165" s="133"/>
      <c r="M165" s="323" t="s">
        <v>375</v>
      </c>
      <c r="N165" s="323" t="s">
        <v>465</v>
      </c>
      <c r="O165" s="323" t="s">
        <v>5</v>
      </c>
      <c r="P165" s="133">
        <v>12</v>
      </c>
      <c r="Q165" s="133">
        <v>52</v>
      </c>
      <c r="U165" s="323" t="s">
        <v>374</v>
      </c>
    </row>
    <row r="166" spans="1:21" x14ac:dyDescent="0.3">
      <c r="A166" s="323" t="s">
        <v>185</v>
      </c>
      <c r="B166" s="323" t="s">
        <v>186</v>
      </c>
      <c r="G166" s="323" t="s">
        <v>471</v>
      </c>
      <c r="H166" s="323" t="s">
        <v>472</v>
      </c>
      <c r="I166" s="323" t="s">
        <v>775</v>
      </c>
      <c r="J166" s="73">
        <v>41091</v>
      </c>
      <c r="K166" s="133">
        <v>0</v>
      </c>
      <c r="M166" s="323" t="s">
        <v>376</v>
      </c>
      <c r="N166" s="323" t="s">
        <v>363</v>
      </c>
      <c r="O166" s="323" t="s">
        <v>27</v>
      </c>
      <c r="P166" s="133">
        <v>143</v>
      </c>
      <c r="Q166" s="133">
        <v>640</v>
      </c>
      <c r="U166" s="323" t="s">
        <v>375</v>
      </c>
    </row>
    <row r="167" spans="1:21" x14ac:dyDescent="0.3">
      <c r="A167" s="323" t="s">
        <v>185</v>
      </c>
      <c r="B167" s="323" t="s">
        <v>223</v>
      </c>
      <c r="G167" s="323" t="s">
        <v>1147</v>
      </c>
      <c r="H167" s="323" t="s">
        <v>1128</v>
      </c>
      <c r="I167" s="323" t="s">
        <v>460</v>
      </c>
      <c r="J167" s="73">
        <v>42401</v>
      </c>
      <c r="K167" s="133">
        <v>30</v>
      </c>
      <c r="M167" s="323" t="s">
        <v>388</v>
      </c>
      <c r="N167" s="323" t="s">
        <v>12</v>
      </c>
      <c r="O167" s="323" t="s">
        <v>151</v>
      </c>
      <c r="P167" s="133">
        <v>80</v>
      </c>
      <c r="Q167" s="133">
        <v>290</v>
      </c>
      <c r="U167" s="323" t="s">
        <v>376</v>
      </c>
    </row>
    <row r="168" spans="1:21" x14ac:dyDescent="0.3">
      <c r="A168" s="323" t="s">
        <v>185</v>
      </c>
      <c r="B168" s="323" t="s">
        <v>190</v>
      </c>
      <c r="G168" s="323" t="s">
        <v>369</v>
      </c>
      <c r="H168" s="323" t="s">
        <v>147</v>
      </c>
      <c r="I168" s="323" t="s">
        <v>460</v>
      </c>
      <c r="J168" s="73">
        <v>40787</v>
      </c>
      <c r="K168" s="133">
        <v>42</v>
      </c>
      <c r="M168" s="323" t="s">
        <v>389</v>
      </c>
      <c r="N168" s="323" t="s">
        <v>12</v>
      </c>
      <c r="O168" s="323" t="s">
        <v>185</v>
      </c>
      <c r="P168" s="133">
        <v>223</v>
      </c>
      <c r="Q168" s="133">
        <v>1067</v>
      </c>
      <c r="U168" s="323" t="s">
        <v>388</v>
      </c>
    </row>
    <row r="169" spans="1:21" x14ac:dyDescent="0.3">
      <c r="A169" s="323" t="s">
        <v>185</v>
      </c>
      <c r="B169" s="323" t="s">
        <v>200</v>
      </c>
      <c r="G169" s="323" t="s">
        <v>943</v>
      </c>
      <c r="H169" s="323" t="s">
        <v>942</v>
      </c>
      <c r="I169" s="323" t="s">
        <v>460</v>
      </c>
      <c r="J169" s="73">
        <v>40787</v>
      </c>
      <c r="K169" s="133">
        <v>22</v>
      </c>
      <c r="M169" s="323" t="s">
        <v>390</v>
      </c>
      <c r="N169" s="323" t="s">
        <v>205</v>
      </c>
      <c r="O169" s="323" t="s">
        <v>185</v>
      </c>
      <c r="P169" s="133"/>
      <c r="Q169" s="133"/>
      <c r="U169" s="323" t="s">
        <v>389</v>
      </c>
    </row>
    <row r="170" spans="1:21" x14ac:dyDescent="0.3">
      <c r="A170" s="323" t="s">
        <v>185</v>
      </c>
      <c r="B170" s="323" t="s">
        <v>202</v>
      </c>
      <c r="G170" s="323" t="s">
        <v>365</v>
      </c>
      <c r="H170" s="323" t="s">
        <v>384</v>
      </c>
      <c r="I170" s="323" t="s">
        <v>775</v>
      </c>
      <c r="J170" s="73">
        <v>40787</v>
      </c>
      <c r="K170" s="133">
        <v>0</v>
      </c>
      <c r="M170" s="323" t="s">
        <v>391</v>
      </c>
      <c r="N170" s="323" t="s">
        <v>12</v>
      </c>
      <c r="O170" s="323" t="s">
        <v>301</v>
      </c>
      <c r="P170" s="133"/>
      <c r="Q170" s="133"/>
      <c r="U170" s="323" t="s">
        <v>390</v>
      </c>
    </row>
    <row r="171" spans="1:21" x14ac:dyDescent="0.3">
      <c r="A171" s="323" t="s">
        <v>185</v>
      </c>
      <c r="B171" s="323" t="s">
        <v>204</v>
      </c>
      <c r="G171" s="323" t="s">
        <v>142</v>
      </c>
      <c r="H171" s="323" t="s">
        <v>141</v>
      </c>
      <c r="I171" s="323" t="s">
        <v>775</v>
      </c>
      <c r="J171" s="73">
        <v>41275</v>
      </c>
      <c r="K171" s="133">
        <v>0</v>
      </c>
      <c r="M171" s="323" t="s">
        <v>475</v>
      </c>
      <c r="N171" s="323" t="s">
        <v>474</v>
      </c>
      <c r="O171" s="323" t="s">
        <v>185</v>
      </c>
      <c r="P171" s="133">
        <v>3</v>
      </c>
      <c r="Q171" s="133">
        <v>18</v>
      </c>
      <c r="U171" s="323" t="s">
        <v>391</v>
      </c>
    </row>
    <row r="172" spans="1:21" x14ac:dyDescent="0.3">
      <c r="A172" s="323" t="s">
        <v>185</v>
      </c>
      <c r="B172" s="323" t="s">
        <v>205</v>
      </c>
      <c r="G172" s="323" t="s">
        <v>903</v>
      </c>
      <c r="H172" s="323" t="s">
        <v>904</v>
      </c>
      <c r="I172" s="323" t="s">
        <v>460</v>
      </c>
      <c r="J172" s="73">
        <v>41703</v>
      </c>
      <c r="K172" s="133">
        <v>42</v>
      </c>
      <c r="M172" s="323" t="s">
        <v>468</v>
      </c>
      <c r="N172" s="323" t="s">
        <v>467</v>
      </c>
      <c r="O172" s="323" t="s">
        <v>480</v>
      </c>
      <c r="P172" s="133">
        <v>0</v>
      </c>
      <c r="Q172" s="133">
        <v>0</v>
      </c>
      <c r="U172" s="323" t="s">
        <v>475</v>
      </c>
    </row>
    <row r="173" spans="1:21" x14ac:dyDescent="0.3">
      <c r="A173" s="323" t="s">
        <v>185</v>
      </c>
      <c r="B173" s="323" t="s">
        <v>207</v>
      </c>
      <c r="G173" s="323" t="s">
        <v>913</v>
      </c>
      <c r="H173" s="323" t="s">
        <v>914</v>
      </c>
      <c r="I173" s="323" t="s">
        <v>460</v>
      </c>
      <c r="J173" s="73">
        <v>41734</v>
      </c>
      <c r="K173" s="133">
        <v>18</v>
      </c>
      <c r="M173" s="323" t="s">
        <v>470</v>
      </c>
      <c r="N173" s="323" t="s">
        <v>469</v>
      </c>
      <c r="O173" s="323" t="s">
        <v>151</v>
      </c>
      <c r="P173" s="133">
        <v>0</v>
      </c>
      <c r="Q173" s="133">
        <v>0</v>
      </c>
      <c r="U173" s="323" t="s">
        <v>468</v>
      </c>
    </row>
    <row r="174" spans="1:21" x14ac:dyDescent="0.3">
      <c r="A174" s="323" t="s">
        <v>185</v>
      </c>
      <c r="B174" s="323" t="s">
        <v>209</v>
      </c>
      <c r="G174" s="323" t="s">
        <v>8</v>
      </c>
      <c r="H174" s="323" t="s">
        <v>7</v>
      </c>
      <c r="I174" s="323" t="s">
        <v>460</v>
      </c>
      <c r="J174" s="73">
        <v>41183</v>
      </c>
      <c r="K174" s="133">
        <v>14</v>
      </c>
      <c r="M174" s="323" t="s">
        <v>472</v>
      </c>
      <c r="N174" s="323" t="s">
        <v>471</v>
      </c>
      <c r="O174" s="323" t="s">
        <v>151</v>
      </c>
      <c r="P174" s="133">
        <v>0</v>
      </c>
      <c r="Q174" s="133">
        <v>0</v>
      </c>
      <c r="U174" s="323" t="s">
        <v>470</v>
      </c>
    </row>
    <row r="175" spans="1:21" x14ac:dyDescent="0.3">
      <c r="A175" s="323" t="s">
        <v>185</v>
      </c>
      <c r="B175" s="323" t="s">
        <v>211</v>
      </c>
      <c r="G175" s="323" t="s">
        <v>1157</v>
      </c>
      <c r="H175" s="323" t="s">
        <v>1165</v>
      </c>
      <c r="I175" s="323" t="s">
        <v>460</v>
      </c>
      <c r="J175" s="73">
        <v>42584</v>
      </c>
      <c r="K175" s="133">
        <v>21</v>
      </c>
      <c r="M175" s="323" t="s">
        <v>473</v>
      </c>
      <c r="N175" s="323" t="s">
        <v>791</v>
      </c>
      <c r="O175" s="323" t="s">
        <v>151</v>
      </c>
      <c r="P175" s="133">
        <v>0</v>
      </c>
      <c r="Q175" s="133">
        <v>0</v>
      </c>
      <c r="U175" s="323" t="s">
        <v>472</v>
      </c>
    </row>
    <row r="176" spans="1:21" x14ac:dyDescent="0.3">
      <c r="A176" s="323" t="s">
        <v>185</v>
      </c>
      <c r="B176" s="323" t="s">
        <v>213</v>
      </c>
      <c r="G176" s="323" t="s">
        <v>266</v>
      </c>
      <c r="H176" s="323" t="s">
        <v>265</v>
      </c>
      <c r="I176" s="323" t="s">
        <v>775</v>
      </c>
      <c r="J176" s="73">
        <v>40817</v>
      </c>
      <c r="K176" s="133"/>
      <c r="M176" s="323" t="s">
        <v>750</v>
      </c>
      <c r="N176" s="323" t="s">
        <v>746</v>
      </c>
      <c r="O176" s="323" t="s">
        <v>746</v>
      </c>
      <c r="P176" s="133">
        <v>5</v>
      </c>
      <c r="Q176" s="133">
        <v>32</v>
      </c>
      <c r="U176" s="323" t="s">
        <v>473</v>
      </c>
    </row>
    <row r="177" spans="1:21" x14ac:dyDescent="0.3">
      <c r="A177" s="323" t="s">
        <v>185</v>
      </c>
      <c r="B177" s="323" t="s">
        <v>215</v>
      </c>
      <c r="G177" s="323" t="s">
        <v>1851</v>
      </c>
      <c r="H177" s="323" t="s">
        <v>1839</v>
      </c>
      <c r="I177" s="323" t="s">
        <v>460</v>
      </c>
      <c r="J177" s="73">
        <v>42847</v>
      </c>
      <c r="K177" s="133">
        <v>45</v>
      </c>
      <c r="M177" s="323" t="s">
        <v>752</v>
      </c>
      <c r="N177" s="323" t="s">
        <v>751</v>
      </c>
      <c r="O177" s="323" t="s">
        <v>309</v>
      </c>
      <c r="P177" s="133"/>
      <c r="Q177" s="133">
        <v>872</v>
      </c>
      <c r="U177" s="323" t="s">
        <v>750</v>
      </c>
    </row>
    <row r="178" spans="1:21" x14ac:dyDescent="0.3">
      <c r="A178" s="323" t="s">
        <v>185</v>
      </c>
      <c r="B178" s="323" t="s">
        <v>217</v>
      </c>
      <c r="G178" s="323" t="s">
        <v>213</v>
      </c>
      <c r="H178" s="323" t="s">
        <v>212</v>
      </c>
      <c r="I178" s="323" t="s">
        <v>460</v>
      </c>
      <c r="J178" s="323" t="s">
        <v>1221</v>
      </c>
      <c r="K178" s="133">
        <v>47</v>
      </c>
      <c r="M178" s="323" t="s">
        <v>793</v>
      </c>
      <c r="N178" s="323" t="s">
        <v>792</v>
      </c>
      <c r="O178" s="323" t="s">
        <v>151</v>
      </c>
      <c r="P178" s="133">
        <v>0</v>
      </c>
      <c r="Q178" s="133">
        <v>0</v>
      </c>
      <c r="U178" s="323" t="s">
        <v>752</v>
      </c>
    </row>
    <row r="179" spans="1:21" x14ac:dyDescent="0.3">
      <c r="A179" s="323" t="s">
        <v>185</v>
      </c>
      <c r="B179" s="323" t="s">
        <v>229</v>
      </c>
      <c r="G179" s="323" t="s">
        <v>162</v>
      </c>
      <c r="H179" s="323" t="s">
        <v>161</v>
      </c>
      <c r="I179" s="323" t="s">
        <v>775</v>
      </c>
      <c r="J179" s="323" t="s">
        <v>1221</v>
      </c>
      <c r="K179" s="133">
        <v>0</v>
      </c>
      <c r="M179" s="323" t="s">
        <v>789</v>
      </c>
      <c r="N179" s="323" t="s">
        <v>790</v>
      </c>
      <c r="O179" s="323" t="s">
        <v>27</v>
      </c>
      <c r="P179" s="133">
        <v>57</v>
      </c>
      <c r="Q179" s="133">
        <v>270</v>
      </c>
      <c r="U179" s="323" t="s">
        <v>793</v>
      </c>
    </row>
    <row r="180" spans="1:21" x14ac:dyDescent="0.3">
      <c r="A180" s="323" t="s">
        <v>185</v>
      </c>
      <c r="B180" s="323" t="s">
        <v>219</v>
      </c>
      <c r="G180" s="323" t="s">
        <v>291</v>
      </c>
      <c r="H180" s="323" t="s">
        <v>290</v>
      </c>
      <c r="I180" s="323" t="s">
        <v>460</v>
      </c>
      <c r="J180" s="73">
        <v>41609</v>
      </c>
      <c r="K180" s="133">
        <v>75</v>
      </c>
      <c r="M180" s="323" t="s">
        <v>783</v>
      </c>
      <c r="N180" s="323" t="s">
        <v>795</v>
      </c>
      <c r="O180" s="323" t="s">
        <v>5</v>
      </c>
      <c r="P180" s="133">
        <v>0</v>
      </c>
      <c r="Q180" s="133">
        <v>0</v>
      </c>
      <c r="U180" s="323" t="s">
        <v>789</v>
      </c>
    </row>
    <row r="181" spans="1:21" x14ac:dyDescent="0.3">
      <c r="A181" s="323" t="s">
        <v>185</v>
      </c>
      <c r="B181" s="323" t="s">
        <v>221</v>
      </c>
      <c r="G181" s="323" t="s">
        <v>289</v>
      </c>
      <c r="H181" s="323" t="s">
        <v>287</v>
      </c>
      <c r="I181" s="323" t="s">
        <v>460</v>
      </c>
      <c r="J181" s="73">
        <v>40878</v>
      </c>
      <c r="K181" s="133">
        <v>66</v>
      </c>
      <c r="M181" s="323" t="s">
        <v>796</v>
      </c>
      <c r="N181" s="323" t="s">
        <v>802</v>
      </c>
      <c r="O181" s="323" t="s">
        <v>151</v>
      </c>
      <c r="P181" s="133">
        <v>0</v>
      </c>
      <c r="Q181" s="133">
        <v>0</v>
      </c>
      <c r="U181" s="323" t="s">
        <v>783</v>
      </c>
    </row>
    <row r="182" spans="1:21" x14ac:dyDescent="0.3">
      <c r="A182" s="323" t="s">
        <v>185</v>
      </c>
      <c r="B182" s="323" t="s">
        <v>225</v>
      </c>
      <c r="G182" s="323" t="s">
        <v>905</v>
      </c>
      <c r="H182" s="323" t="s">
        <v>906</v>
      </c>
      <c r="I182" s="323" t="s">
        <v>460</v>
      </c>
      <c r="J182" s="73">
        <v>41947</v>
      </c>
      <c r="K182" s="133">
        <v>38</v>
      </c>
      <c r="M182" s="323" t="s">
        <v>800</v>
      </c>
      <c r="N182" s="323" t="s">
        <v>801</v>
      </c>
      <c r="O182" s="323" t="s">
        <v>151</v>
      </c>
      <c r="P182" s="133">
        <v>0</v>
      </c>
      <c r="Q182" s="133">
        <v>0</v>
      </c>
      <c r="U182" s="323" t="s">
        <v>796</v>
      </c>
    </row>
    <row r="183" spans="1:21" x14ac:dyDescent="0.3">
      <c r="A183" s="323" t="s">
        <v>185</v>
      </c>
      <c r="B183" s="323" t="s">
        <v>227</v>
      </c>
      <c r="G183" s="323" t="s">
        <v>372</v>
      </c>
      <c r="H183" s="323" t="s">
        <v>294</v>
      </c>
      <c r="I183" s="323" t="s">
        <v>460</v>
      </c>
      <c r="J183" s="73">
        <v>40878</v>
      </c>
      <c r="K183" s="133">
        <v>44</v>
      </c>
      <c r="M183" s="323" t="s">
        <v>805</v>
      </c>
      <c r="N183" s="323" t="s">
        <v>804</v>
      </c>
      <c r="O183" s="323" t="s">
        <v>151</v>
      </c>
      <c r="P183" s="133">
        <v>0</v>
      </c>
      <c r="Q183" s="133">
        <v>0</v>
      </c>
      <c r="U183" s="323" t="s">
        <v>800</v>
      </c>
    </row>
    <row r="184" spans="1:21" x14ac:dyDescent="0.3">
      <c r="A184" s="323" t="s">
        <v>185</v>
      </c>
      <c r="B184" s="323" t="s">
        <v>1080</v>
      </c>
      <c r="G184" s="323" t="s">
        <v>373</v>
      </c>
      <c r="H184" s="323" t="s">
        <v>387</v>
      </c>
      <c r="I184" s="323" t="s">
        <v>775</v>
      </c>
      <c r="J184" s="323" t="s">
        <v>1221</v>
      </c>
      <c r="K184" s="133">
        <v>0</v>
      </c>
      <c r="M184" s="323" t="s">
        <v>806</v>
      </c>
      <c r="N184" s="323" t="s">
        <v>808</v>
      </c>
      <c r="O184" s="323" t="s">
        <v>151</v>
      </c>
      <c r="P184" s="133">
        <v>0</v>
      </c>
      <c r="Q184" s="133">
        <v>0</v>
      </c>
      <c r="U184" s="323" t="s">
        <v>805</v>
      </c>
    </row>
    <row r="185" spans="1:21" x14ac:dyDescent="0.3">
      <c r="A185" s="323" t="s">
        <v>230</v>
      </c>
      <c r="B185" s="323" t="s">
        <v>169</v>
      </c>
      <c r="G185" s="323" t="s">
        <v>293</v>
      </c>
      <c r="H185" s="323" t="s">
        <v>292</v>
      </c>
      <c r="I185" s="323" t="s">
        <v>775</v>
      </c>
      <c r="J185" s="323" t="s">
        <v>1221</v>
      </c>
      <c r="K185" s="133"/>
      <c r="M185" s="323" t="s">
        <v>807</v>
      </c>
      <c r="N185" s="323" t="s">
        <v>803</v>
      </c>
      <c r="O185" s="323" t="s">
        <v>151</v>
      </c>
      <c r="P185" s="133">
        <v>0</v>
      </c>
      <c r="Q185" s="133">
        <v>0</v>
      </c>
      <c r="U185" s="323" t="s">
        <v>806</v>
      </c>
    </row>
    <row r="186" spans="1:21" x14ac:dyDescent="0.3">
      <c r="A186" s="323" t="s">
        <v>230</v>
      </c>
      <c r="B186" s="323" t="s">
        <v>231</v>
      </c>
      <c r="G186" s="323" t="s">
        <v>359</v>
      </c>
      <c r="H186" s="323" t="s">
        <v>771</v>
      </c>
      <c r="I186" s="323" t="s">
        <v>775</v>
      </c>
      <c r="J186" s="73">
        <v>40787</v>
      </c>
      <c r="K186" s="133">
        <v>9</v>
      </c>
      <c r="M186" s="323" t="s">
        <v>809</v>
      </c>
      <c r="N186" s="323" t="s">
        <v>810</v>
      </c>
      <c r="O186" s="323" t="s">
        <v>151</v>
      </c>
      <c r="P186" s="133">
        <v>0</v>
      </c>
      <c r="Q186" s="133">
        <v>0</v>
      </c>
      <c r="U186" s="323" t="s">
        <v>807</v>
      </c>
    </row>
    <row r="187" spans="1:21" x14ac:dyDescent="0.3">
      <c r="A187" s="323" t="s">
        <v>230</v>
      </c>
      <c r="B187" s="323" t="s">
        <v>233</v>
      </c>
      <c r="G187" s="323" t="s">
        <v>171</v>
      </c>
      <c r="H187" s="323" t="s">
        <v>170</v>
      </c>
      <c r="I187" s="323" t="s">
        <v>775</v>
      </c>
      <c r="J187" s="323" t="s">
        <v>1221</v>
      </c>
      <c r="K187" s="133"/>
      <c r="M187" s="323" t="s">
        <v>812</v>
      </c>
      <c r="N187" s="323" t="s">
        <v>811</v>
      </c>
      <c r="O187" s="323" t="s">
        <v>151</v>
      </c>
      <c r="P187" s="133">
        <v>432</v>
      </c>
      <c r="Q187" s="133">
        <v>2149</v>
      </c>
      <c r="U187" s="323" t="s">
        <v>809</v>
      </c>
    </row>
    <row r="188" spans="1:21" x14ac:dyDescent="0.3">
      <c r="A188" s="323" t="s">
        <v>230</v>
      </c>
      <c r="B188" s="323" t="s">
        <v>235</v>
      </c>
      <c r="G188" s="323" t="s">
        <v>149</v>
      </c>
      <c r="H188" s="323" t="s">
        <v>148</v>
      </c>
      <c r="I188" s="323" t="s">
        <v>460</v>
      </c>
      <c r="J188" s="73">
        <v>40878</v>
      </c>
      <c r="K188" s="133">
        <v>58</v>
      </c>
      <c r="M188" s="323" t="s">
        <v>814</v>
      </c>
      <c r="N188" s="323" t="s">
        <v>813</v>
      </c>
      <c r="O188" s="323" t="s">
        <v>151</v>
      </c>
      <c r="P188" s="133">
        <v>0</v>
      </c>
      <c r="Q188" s="133">
        <v>0</v>
      </c>
      <c r="U188" s="323" t="s">
        <v>812</v>
      </c>
    </row>
    <row r="189" spans="1:21" x14ac:dyDescent="0.3">
      <c r="A189" s="323" t="s">
        <v>230</v>
      </c>
      <c r="B189" s="323" t="s">
        <v>359</v>
      </c>
      <c r="G189" s="323" t="s">
        <v>1596</v>
      </c>
      <c r="H189" s="323" t="s">
        <v>1126</v>
      </c>
      <c r="I189" s="323" t="s">
        <v>460</v>
      </c>
      <c r="J189" s="73">
        <v>42401</v>
      </c>
      <c r="K189" s="133">
        <v>41</v>
      </c>
      <c r="M189" s="323" t="s">
        <v>816</v>
      </c>
      <c r="N189" s="323" t="s">
        <v>815</v>
      </c>
      <c r="O189" s="323" t="s">
        <v>299</v>
      </c>
      <c r="P189" s="133">
        <v>0</v>
      </c>
      <c r="Q189" s="133">
        <v>0</v>
      </c>
      <c r="U189" s="323" t="s">
        <v>814</v>
      </c>
    </row>
    <row r="190" spans="1:21" x14ac:dyDescent="0.3">
      <c r="A190" s="323" t="s">
        <v>230</v>
      </c>
      <c r="B190" s="323" t="s">
        <v>171</v>
      </c>
      <c r="G190" s="323" t="s">
        <v>791</v>
      </c>
      <c r="H190" s="323" t="s">
        <v>473</v>
      </c>
      <c r="I190" s="323" t="s">
        <v>775</v>
      </c>
      <c r="J190" s="73">
        <v>41091</v>
      </c>
      <c r="K190" s="133">
        <v>0</v>
      </c>
      <c r="M190" s="323" t="s">
        <v>820</v>
      </c>
      <c r="N190" s="323" t="s">
        <v>819</v>
      </c>
      <c r="O190" s="323" t="s">
        <v>817</v>
      </c>
      <c r="P190" s="133"/>
      <c r="Q190" s="133"/>
      <c r="U190" s="323" t="s">
        <v>816</v>
      </c>
    </row>
    <row r="191" spans="1:21" x14ac:dyDescent="0.3">
      <c r="A191" s="323" t="s">
        <v>230</v>
      </c>
      <c r="B191" s="323" t="s">
        <v>903</v>
      </c>
      <c r="G191" s="323" t="s">
        <v>792</v>
      </c>
      <c r="H191" s="323" t="s">
        <v>793</v>
      </c>
      <c r="I191" s="323" t="s">
        <v>775</v>
      </c>
      <c r="J191" s="323" t="s">
        <v>1221</v>
      </c>
      <c r="K191" s="133">
        <v>0</v>
      </c>
      <c r="M191" s="323" t="s">
        <v>821</v>
      </c>
      <c r="N191" s="323" t="s">
        <v>822</v>
      </c>
      <c r="O191" s="323" t="s">
        <v>5</v>
      </c>
      <c r="P191" s="133"/>
      <c r="Q191" s="133"/>
      <c r="U191" s="323" t="s">
        <v>820</v>
      </c>
    </row>
    <row r="192" spans="1:21" x14ac:dyDescent="0.3">
      <c r="A192" s="323" t="s">
        <v>230</v>
      </c>
      <c r="B192" s="323" t="s">
        <v>913</v>
      </c>
      <c r="G192" s="323" t="s">
        <v>164</v>
      </c>
      <c r="H192" s="323" t="s">
        <v>163</v>
      </c>
      <c r="I192" s="323" t="s">
        <v>775</v>
      </c>
      <c r="J192" s="323" t="s">
        <v>1221</v>
      </c>
      <c r="K192" s="133">
        <v>0</v>
      </c>
      <c r="M192" s="323" t="s">
        <v>287</v>
      </c>
      <c r="N192" s="323" t="s">
        <v>289</v>
      </c>
      <c r="O192" s="323" t="s">
        <v>288</v>
      </c>
      <c r="P192" s="133">
        <v>66</v>
      </c>
      <c r="Q192" s="133">
        <v>336</v>
      </c>
      <c r="U192" s="323" t="s">
        <v>821</v>
      </c>
    </row>
    <row r="193" spans="1:21" x14ac:dyDescent="0.3">
      <c r="A193" s="323" t="s">
        <v>230</v>
      </c>
      <c r="B193" s="323" t="s">
        <v>1199</v>
      </c>
      <c r="G193" s="323" t="s">
        <v>551</v>
      </c>
      <c r="H193" s="323" t="s">
        <v>46</v>
      </c>
      <c r="I193" s="323" t="s">
        <v>460</v>
      </c>
      <c r="J193" s="73">
        <v>41275</v>
      </c>
      <c r="K193" s="133">
        <v>11</v>
      </c>
      <c r="M193" s="323" t="s">
        <v>292</v>
      </c>
      <c r="N193" s="323" t="s">
        <v>293</v>
      </c>
      <c r="O193" s="323" t="s">
        <v>288</v>
      </c>
      <c r="P193" s="133"/>
      <c r="Q193" s="133"/>
      <c r="U193" s="323" t="s">
        <v>846</v>
      </c>
    </row>
    <row r="194" spans="1:21" x14ac:dyDescent="0.3">
      <c r="A194" s="323" t="s">
        <v>230</v>
      </c>
      <c r="B194" s="323" t="s">
        <v>1209</v>
      </c>
      <c r="G194" s="323" t="s">
        <v>1060</v>
      </c>
      <c r="H194" s="323" t="s">
        <v>1044</v>
      </c>
      <c r="I194" s="323" t="s">
        <v>460</v>
      </c>
      <c r="J194" s="73">
        <v>42036</v>
      </c>
      <c r="K194" s="133">
        <v>32</v>
      </c>
      <c r="M194" s="323" t="s">
        <v>294</v>
      </c>
      <c r="N194" s="323" t="s">
        <v>372</v>
      </c>
      <c r="O194" s="323" t="s">
        <v>288</v>
      </c>
      <c r="P194" s="133">
        <v>44</v>
      </c>
      <c r="Q194" s="133">
        <v>223</v>
      </c>
      <c r="U194" s="323" t="s">
        <v>874</v>
      </c>
    </row>
    <row r="195" spans="1:21" x14ac:dyDescent="0.3">
      <c r="A195" s="323" t="s">
        <v>230</v>
      </c>
      <c r="B195" s="323" t="s">
        <v>1210</v>
      </c>
      <c r="G195" s="323" t="s">
        <v>759</v>
      </c>
      <c r="H195" s="323" t="s">
        <v>296</v>
      </c>
      <c r="I195" s="323" t="s">
        <v>460</v>
      </c>
      <c r="J195" s="73">
        <v>41000</v>
      </c>
      <c r="K195" s="133">
        <v>41</v>
      </c>
      <c r="M195" s="323" t="s">
        <v>290</v>
      </c>
      <c r="N195" s="323" t="s">
        <v>291</v>
      </c>
      <c r="O195" s="323" t="s">
        <v>288</v>
      </c>
      <c r="P195" s="133">
        <v>75</v>
      </c>
      <c r="Q195" s="133">
        <v>367</v>
      </c>
      <c r="U195" s="323" t="s">
        <v>876</v>
      </c>
    </row>
    <row r="196" spans="1:21" x14ac:dyDescent="0.3">
      <c r="A196" s="323" t="s">
        <v>230</v>
      </c>
      <c r="B196" s="323" t="s">
        <v>1200</v>
      </c>
      <c r="G196" s="323" t="s">
        <v>534</v>
      </c>
      <c r="H196" s="323" t="s">
        <v>762</v>
      </c>
      <c r="I196" s="323" t="s">
        <v>775</v>
      </c>
      <c r="J196" s="323" t="s">
        <v>1221</v>
      </c>
      <c r="K196" s="133">
        <v>118</v>
      </c>
      <c r="M196" s="323" t="s">
        <v>234</v>
      </c>
      <c r="N196" s="323" t="s">
        <v>235</v>
      </c>
      <c r="O196" s="323" t="s">
        <v>230</v>
      </c>
      <c r="P196" s="133"/>
      <c r="Q196" s="133"/>
      <c r="U196" s="323" t="s">
        <v>889</v>
      </c>
    </row>
    <row r="197" spans="1:21" x14ac:dyDescent="0.3">
      <c r="A197" s="323" t="s">
        <v>230</v>
      </c>
      <c r="B197" s="323" t="s">
        <v>1211</v>
      </c>
      <c r="G197" s="323" t="s">
        <v>917</v>
      </c>
      <c r="H197" s="323" t="s">
        <v>910</v>
      </c>
      <c r="I197" s="323" t="s">
        <v>460</v>
      </c>
      <c r="J197" s="73">
        <v>41747</v>
      </c>
      <c r="K197" s="133">
        <v>126</v>
      </c>
      <c r="M197" s="323" t="s">
        <v>147</v>
      </c>
      <c r="N197" s="323" t="s">
        <v>369</v>
      </c>
      <c r="O197" s="323" t="s">
        <v>146</v>
      </c>
      <c r="P197" s="133">
        <v>42</v>
      </c>
      <c r="Q197" s="133">
        <v>234</v>
      </c>
      <c r="U197" s="323" t="s">
        <v>893</v>
      </c>
    </row>
    <row r="198" spans="1:21" x14ac:dyDescent="0.3">
      <c r="A198" s="323" t="s">
        <v>230</v>
      </c>
      <c r="B198" s="323" t="s">
        <v>1215</v>
      </c>
      <c r="G198" s="323" t="s">
        <v>1215</v>
      </c>
      <c r="H198" s="323" t="s">
        <v>1180</v>
      </c>
      <c r="I198" s="323" t="s">
        <v>775</v>
      </c>
      <c r="J198" s="323" t="s">
        <v>1221</v>
      </c>
      <c r="K198" s="133"/>
      <c r="M198" s="323" t="s">
        <v>148</v>
      </c>
      <c r="N198" s="323" t="s">
        <v>149</v>
      </c>
      <c r="O198" s="323" t="s">
        <v>146</v>
      </c>
      <c r="P198" s="133">
        <v>58</v>
      </c>
      <c r="Q198" s="133">
        <v>273</v>
      </c>
      <c r="U198" s="323" t="s">
        <v>912</v>
      </c>
    </row>
    <row r="199" spans="1:21" x14ac:dyDescent="0.3">
      <c r="A199" s="323" t="s">
        <v>230</v>
      </c>
      <c r="B199" s="323" t="s">
        <v>1193</v>
      </c>
      <c r="G199" s="323" t="s">
        <v>1534</v>
      </c>
      <c r="H199" s="323" t="s">
        <v>1564</v>
      </c>
      <c r="I199" s="323" t="s">
        <v>775</v>
      </c>
      <c r="J199" s="73">
        <v>42962</v>
      </c>
      <c r="K199" s="133">
        <v>245</v>
      </c>
      <c r="M199" s="323" t="s">
        <v>165</v>
      </c>
      <c r="N199" s="323" t="s">
        <v>167</v>
      </c>
      <c r="O199" s="323" t="s">
        <v>166</v>
      </c>
      <c r="P199" s="133">
        <v>33</v>
      </c>
      <c r="Q199" s="133">
        <v>182</v>
      </c>
      <c r="U199" s="323" t="s">
        <v>916</v>
      </c>
    </row>
    <row r="200" spans="1:21" x14ac:dyDescent="0.3">
      <c r="A200" s="323" t="s">
        <v>230</v>
      </c>
      <c r="B200" s="323" t="s">
        <v>1194</v>
      </c>
      <c r="G200" s="323" t="s">
        <v>1190</v>
      </c>
      <c r="H200" s="323" t="s">
        <v>1172</v>
      </c>
      <c r="I200" s="323" t="s">
        <v>775</v>
      </c>
      <c r="J200" s="323" t="s">
        <v>1221</v>
      </c>
      <c r="K200" s="133"/>
      <c r="M200" s="323" t="s">
        <v>168</v>
      </c>
      <c r="N200" s="323" t="s">
        <v>169</v>
      </c>
      <c r="O200" s="323" t="s">
        <v>230</v>
      </c>
      <c r="P200" s="133"/>
      <c r="Q200" s="133"/>
      <c r="U200" s="323" t="s">
        <v>287</v>
      </c>
    </row>
    <row r="201" spans="1:21" x14ac:dyDescent="0.3">
      <c r="A201" s="323" t="s">
        <v>230</v>
      </c>
      <c r="B201" s="323" t="s">
        <v>1195</v>
      </c>
      <c r="G201" s="323" t="s">
        <v>1191</v>
      </c>
      <c r="H201" s="323" t="s">
        <v>1173</v>
      </c>
      <c r="I201" s="323" t="s">
        <v>775</v>
      </c>
      <c r="J201" s="323" t="s">
        <v>1221</v>
      </c>
      <c r="K201" s="133"/>
      <c r="M201" s="323" t="s">
        <v>170</v>
      </c>
      <c r="N201" s="323" t="s">
        <v>171</v>
      </c>
      <c r="O201" s="323" t="s">
        <v>230</v>
      </c>
      <c r="P201" s="133"/>
      <c r="Q201" s="133"/>
      <c r="U201" s="323" t="s">
        <v>292</v>
      </c>
    </row>
    <row r="202" spans="1:21" x14ac:dyDescent="0.3">
      <c r="A202" s="323" t="s">
        <v>230</v>
      </c>
      <c r="B202" s="323" t="s">
        <v>1196</v>
      </c>
      <c r="G202" s="323" t="s">
        <v>1189</v>
      </c>
      <c r="H202" s="323" t="s">
        <v>1171</v>
      </c>
      <c r="I202" s="323" t="s">
        <v>775</v>
      </c>
      <c r="J202" s="323" t="s">
        <v>1221</v>
      </c>
      <c r="K202" s="133">
        <v>13</v>
      </c>
      <c r="M202" s="323" t="s">
        <v>232</v>
      </c>
      <c r="N202" s="323" t="s">
        <v>233</v>
      </c>
      <c r="O202" s="323" t="s">
        <v>230</v>
      </c>
      <c r="P202" s="133"/>
      <c r="Q202" s="133"/>
      <c r="U202" s="323" t="s">
        <v>294</v>
      </c>
    </row>
    <row r="203" spans="1:21" x14ac:dyDescent="0.3">
      <c r="A203" s="323" t="s">
        <v>230</v>
      </c>
      <c r="B203" s="323" t="s">
        <v>1197</v>
      </c>
      <c r="G203" s="323" t="s">
        <v>270</v>
      </c>
      <c r="H203" s="323" t="s">
        <v>269</v>
      </c>
      <c r="I203" s="323" t="s">
        <v>460</v>
      </c>
      <c r="J203" s="73">
        <v>40909</v>
      </c>
      <c r="K203" s="133">
        <v>58</v>
      </c>
      <c r="M203" s="323" t="s">
        <v>296</v>
      </c>
      <c r="N203" s="323" t="s">
        <v>759</v>
      </c>
      <c r="O203" s="323" t="s">
        <v>297</v>
      </c>
      <c r="P203" s="133">
        <v>41</v>
      </c>
      <c r="Q203" s="133">
        <v>179</v>
      </c>
      <c r="U203" s="323" t="s">
        <v>290</v>
      </c>
    </row>
    <row r="204" spans="1:21" x14ac:dyDescent="0.3">
      <c r="A204" s="323" t="s">
        <v>230</v>
      </c>
      <c r="B204" s="323" t="s">
        <v>716</v>
      </c>
      <c r="G204" s="323" t="s">
        <v>20</v>
      </c>
      <c r="H204" s="323" t="s">
        <v>19</v>
      </c>
      <c r="I204" s="323" t="s">
        <v>460</v>
      </c>
      <c r="J204" s="73">
        <v>40848</v>
      </c>
      <c r="K204" s="133">
        <v>15</v>
      </c>
      <c r="M204" s="323" t="s">
        <v>380</v>
      </c>
      <c r="N204" s="323" t="s">
        <v>370</v>
      </c>
      <c r="O204" s="323" t="s">
        <v>146</v>
      </c>
      <c r="P204" s="133"/>
      <c r="Q204" s="133"/>
      <c r="U204" s="323" t="s">
        <v>234</v>
      </c>
    </row>
    <row r="205" spans="1:21" x14ac:dyDescent="0.3">
      <c r="A205" s="323" t="s">
        <v>237</v>
      </c>
      <c r="B205" s="323" t="s">
        <v>252</v>
      </c>
      <c r="G205" s="323" t="s">
        <v>108</v>
      </c>
      <c r="H205" s="323" t="s">
        <v>107</v>
      </c>
      <c r="I205" s="323" t="s">
        <v>460</v>
      </c>
      <c r="J205" s="73">
        <v>41487</v>
      </c>
      <c r="K205" s="133">
        <v>49</v>
      </c>
      <c r="M205" s="323" t="s">
        <v>381</v>
      </c>
      <c r="N205" s="323" t="s">
        <v>367</v>
      </c>
      <c r="O205" s="323" t="s">
        <v>146</v>
      </c>
      <c r="P205" s="133">
        <v>56</v>
      </c>
      <c r="Q205" s="133">
        <v>264</v>
      </c>
      <c r="U205" s="323" t="s">
        <v>147</v>
      </c>
    </row>
    <row r="206" spans="1:21" x14ac:dyDescent="0.3">
      <c r="A206" s="323" t="s">
        <v>237</v>
      </c>
      <c r="B206" s="323" t="s">
        <v>254</v>
      </c>
      <c r="G206" s="323" t="s">
        <v>183</v>
      </c>
      <c r="H206" s="323" t="s">
        <v>182</v>
      </c>
      <c r="I206" s="323" t="s">
        <v>775</v>
      </c>
      <c r="J206" s="73">
        <v>40969</v>
      </c>
      <c r="K206" s="133">
        <v>0</v>
      </c>
      <c r="M206" s="323" t="s">
        <v>382</v>
      </c>
      <c r="N206" s="323" t="s">
        <v>368</v>
      </c>
      <c r="O206" s="323" t="s">
        <v>146</v>
      </c>
      <c r="P206" s="133">
        <v>29</v>
      </c>
      <c r="Q206" s="133">
        <v>138</v>
      </c>
      <c r="U206" s="323" t="s">
        <v>148</v>
      </c>
    </row>
    <row r="207" spans="1:21" x14ac:dyDescent="0.3">
      <c r="A207" s="323" t="s">
        <v>237</v>
      </c>
      <c r="B207" s="323" t="s">
        <v>256</v>
      </c>
      <c r="G207" s="323" t="s">
        <v>535</v>
      </c>
      <c r="H207" s="323" t="s">
        <v>772</v>
      </c>
      <c r="I207" s="323" t="s">
        <v>460</v>
      </c>
      <c r="J207" s="73">
        <v>41365</v>
      </c>
      <c r="K207" s="133">
        <v>67</v>
      </c>
      <c r="M207" s="323" t="s">
        <v>383</v>
      </c>
      <c r="N207" s="323" t="s">
        <v>1650</v>
      </c>
      <c r="O207" s="323" t="s">
        <v>146</v>
      </c>
      <c r="P207" s="133">
        <v>76</v>
      </c>
      <c r="Q207" s="133">
        <v>338</v>
      </c>
      <c r="U207" s="323" t="s">
        <v>165</v>
      </c>
    </row>
    <row r="208" spans="1:21" x14ac:dyDescent="0.3">
      <c r="A208" s="323" t="s">
        <v>237</v>
      </c>
      <c r="B208" s="323" t="s">
        <v>303</v>
      </c>
      <c r="G208" s="323" t="s">
        <v>178</v>
      </c>
      <c r="H208" s="323" t="s">
        <v>177</v>
      </c>
      <c r="I208" s="323" t="s">
        <v>460</v>
      </c>
      <c r="J208" s="73">
        <v>40969</v>
      </c>
      <c r="K208" s="133">
        <v>10</v>
      </c>
      <c r="M208" s="323" t="s">
        <v>384</v>
      </c>
      <c r="N208" s="323" t="s">
        <v>365</v>
      </c>
      <c r="O208" s="323" t="s">
        <v>146</v>
      </c>
      <c r="P208" s="133">
        <v>0</v>
      </c>
      <c r="Q208" s="133">
        <v>0</v>
      </c>
      <c r="U208" s="323" t="s">
        <v>168</v>
      </c>
    </row>
    <row r="209" spans="1:21" x14ac:dyDescent="0.3">
      <c r="A209" s="323" t="s">
        <v>237</v>
      </c>
      <c r="B209" s="323" t="s">
        <v>240</v>
      </c>
      <c r="G209" s="323" t="s">
        <v>815</v>
      </c>
      <c r="H209" s="323" t="s">
        <v>816</v>
      </c>
      <c r="I209" s="323" t="s">
        <v>775</v>
      </c>
      <c r="J209" s="73">
        <v>41487</v>
      </c>
      <c r="K209" s="133">
        <v>0</v>
      </c>
      <c r="M209" s="323" t="s">
        <v>385</v>
      </c>
      <c r="N209" s="323" t="s">
        <v>371</v>
      </c>
      <c r="O209" s="323" t="s">
        <v>146</v>
      </c>
      <c r="P209" s="133">
        <v>198</v>
      </c>
      <c r="Q209" s="133">
        <v>1008</v>
      </c>
      <c r="U209" s="323" t="s">
        <v>170</v>
      </c>
    </row>
    <row r="210" spans="1:21" x14ac:dyDescent="0.3">
      <c r="A210" s="323" t="s">
        <v>237</v>
      </c>
      <c r="B210" s="323" t="s">
        <v>284</v>
      </c>
      <c r="G210" s="323" t="s">
        <v>342</v>
      </c>
      <c r="H210" s="323" t="s">
        <v>341</v>
      </c>
      <c r="I210" s="323" t="s">
        <v>460</v>
      </c>
      <c r="J210" s="73">
        <v>41030</v>
      </c>
      <c r="K210" s="133">
        <v>20</v>
      </c>
      <c r="M210" s="323" t="s">
        <v>386</v>
      </c>
      <c r="N210" s="323" t="s">
        <v>231</v>
      </c>
      <c r="O210" s="323" t="s">
        <v>230</v>
      </c>
      <c r="P210" s="133">
        <v>32</v>
      </c>
      <c r="Q210" s="133">
        <v>187</v>
      </c>
      <c r="U210" s="323" t="s">
        <v>232</v>
      </c>
    </row>
    <row r="211" spans="1:21" x14ac:dyDescent="0.3">
      <c r="A211" s="323" t="s">
        <v>237</v>
      </c>
      <c r="B211" s="323" t="s">
        <v>258</v>
      </c>
      <c r="G211" s="323" t="s">
        <v>286</v>
      </c>
      <c r="H211" s="323" t="s">
        <v>285</v>
      </c>
      <c r="I211" s="323" t="s">
        <v>460</v>
      </c>
      <c r="J211" s="73">
        <v>40940</v>
      </c>
      <c r="K211" s="133">
        <v>24</v>
      </c>
      <c r="M211" s="323" t="s">
        <v>387</v>
      </c>
      <c r="N211" s="323" t="s">
        <v>373</v>
      </c>
      <c r="O211" s="323" t="s">
        <v>288</v>
      </c>
      <c r="P211" s="133">
        <v>0</v>
      </c>
      <c r="Q211" s="133">
        <v>0</v>
      </c>
      <c r="U211" s="323" t="s">
        <v>296</v>
      </c>
    </row>
    <row r="212" spans="1:21" x14ac:dyDescent="0.3">
      <c r="A212" s="323" t="s">
        <v>237</v>
      </c>
      <c r="B212" s="323" t="s">
        <v>260</v>
      </c>
      <c r="G212" s="323" t="s">
        <v>1034</v>
      </c>
      <c r="H212" s="323" t="s">
        <v>358</v>
      </c>
      <c r="I212" s="323" t="s">
        <v>775</v>
      </c>
      <c r="J212" s="323" t="s">
        <v>1221</v>
      </c>
      <c r="K212" s="133"/>
      <c r="M212" s="323" t="s">
        <v>771</v>
      </c>
      <c r="N212" s="323" t="s">
        <v>359</v>
      </c>
      <c r="O212" s="323" t="s">
        <v>230</v>
      </c>
      <c r="P212" s="133">
        <v>9</v>
      </c>
      <c r="Q212" s="133">
        <v>44</v>
      </c>
      <c r="U212" s="323" t="s">
        <v>380</v>
      </c>
    </row>
    <row r="213" spans="1:21" x14ac:dyDescent="0.3">
      <c r="A213" s="323" t="s">
        <v>237</v>
      </c>
      <c r="B213" s="323" t="s">
        <v>262</v>
      </c>
      <c r="G213" s="323" t="s">
        <v>1066</v>
      </c>
      <c r="H213" s="323" t="s">
        <v>1067</v>
      </c>
      <c r="I213" s="323" t="s">
        <v>460</v>
      </c>
      <c r="J213" s="73">
        <v>42036</v>
      </c>
      <c r="K213" s="133">
        <v>126</v>
      </c>
      <c r="M213" s="323" t="s">
        <v>772</v>
      </c>
      <c r="N213" s="323" t="s">
        <v>535</v>
      </c>
      <c r="O213" s="323" t="s">
        <v>719</v>
      </c>
      <c r="P213" s="133">
        <v>67</v>
      </c>
      <c r="Q213" s="133">
        <v>392</v>
      </c>
      <c r="U213" s="323" t="s">
        <v>381</v>
      </c>
    </row>
    <row r="214" spans="1:21" x14ac:dyDescent="0.3">
      <c r="A214" s="323" t="s">
        <v>237</v>
      </c>
      <c r="B214" s="323" t="s">
        <v>264</v>
      </c>
      <c r="G214" s="323" t="s">
        <v>1082</v>
      </c>
      <c r="H214" s="323" t="s">
        <v>1083</v>
      </c>
      <c r="I214" s="323" t="s">
        <v>460</v>
      </c>
      <c r="J214" s="73">
        <v>42036</v>
      </c>
      <c r="K214" s="133">
        <v>105</v>
      </c>
      <c r="M214" s="323" t="s">
        <v>761</v>
      </c>
      <c r="N214" s="323" t="s">
        <v>760</v>
      </c>
      <c r="O214" s="323" t="s">
        <v>166</v>
      </c>
      <c r="P214" s="133">
        <v>29</v>
      </c>
      <c r="Q214" s="133">
        <v>171</v>
      </c>
      <c r="U214" s="323" t="s">
        <v>382</v>
      </c>
    </row>
    <row r="215" spans="1:21" x14ac:dyDescent="0.3">
      <c r="A215" s="323" t="s">
        <v>237</v>
      </c>
      <c r="B215" s="323" t="s">
        <v>266</v>
      </c>
      <c r="G215" s="323" t="s">
        <v>110</v>
      </c>
      <c r="H215" s="323" t="s">
        <v>109</v>
      </c>
      <c r="I215" s="323" t="s">
        <v>775</v>
      </c>
      <c r="J215" s="73">
        <v>41122</v>
      </c>
      <c r="K215" s="133">
        <v>0</v>
      </c>
      <c r="M215" s="323" t="s">
        <v>762</v>
      </c>
      <c r="N215" s="323" t="s">
        <v>534</v>
      </c>
      <c r="O215" s="323" t="s">
        <v>297</v>
      </c>
      <c r="P215" s="133">
        <v>118</v>
      </c>
      <c r="Q215" s="133">
        <v>520</v>
      </c>
      <c r="U215" s="323" t="s">
        <v>383</v>
      </c>
    </row>
    <row r="216" spans="1:21" x14ac:dyDescent="0.3">
      <c r="A216" s="323" t="s">
        <v>237</v>
      </c>
      <c r="B216" s="323" t="s">
        <v>270</v>
      </c>
      <c r="G216" s="323" t="s">
        <v>112</v>
      </c>
      <c r="H216" s="323" t="s">
        <v>111</v>
      </c>
      <c r="I216" s="323" t="s">
        <v>775</v>
      </c>
      <c r="J216" s="323" t="s">
        <v>1221</v>
      </c>
      <c r="K216" s="133">
        <v>0</v>
      </c>
      <c r="M216" s="323" t="s">
        <v>838</v>
      </c>
      <c r="N216" s="323" t="s">
        <v>837</v>
      </c>
      <c r="O216" s="323" t="s">
        <v>146</v>
      </c>
      <c r="P216" s="133">
        <v>0</v>
      </c>
      <c r="Q216" s="133">
        <v>0</v>
      </c>
      <c r="U216" s="323" t="s">
        <v>384</v>
      </c>
    </row>
    <row r="217" spans="1:21" x14ac:dyDescent="0.3">
      <c r="A217" s="323" t="s">
        <v>237</v>
      </c>
      <c r="B217" s="323" t="s">
        <v>268</v>
      </c>
      <c r="G217" s="323" t="s">
        <v>215</v>
      </c>
      <c r="H217" s="323" t="s">
        <v>214</v>
      </c>
      <c r="I217" s="323" t="s">
        <v>460</v>
      </c>
      <c r="J217" s="73">
        <v>41000</v>
      </c>
      <c r="K217" s="133">
        <v>356</v>
      </c>
      <c r="M217" s="323" t="s">
        <v>840</v>
      </c>
      <c r="N217" s="323" t="s">
        <v>839</v>
      </c>
      <c r="O217" s="323" t="s">
        <v>146</v>
      </c>
      <c r="P217" s="133">
        <v>0</v>
      </c>
      <c r="Q217" s="133">
        <v>0</v>
      </c>
      <c r="U217" s="323" t="s">
        <v>385</v>
      </c>
    </row>
    <row r="218" spans="1:21" x14ac:dyDescent="0.3">
      <c r="A218" s="323" t="s">
        <v>237</v>
      </c>
      <c r="B218" s="323" t="s">
        <v>272</v>
      </c>
      <c r="G218" s="323" t="s">
        <v>217</v>
      </c>
      <c r="H218" s="323" t="s">
        <v>216</v>
      </c>
      <c r="I218" s="323" t="s">
        <v>775</v>
      </c>
      <c r="J218" s="73">
        <v>40817</v>
      </c>
      <c r="K218" s="133"/>
      <c r="M218" s="323" t="s">
        <v>846</v>
      </c>
      <c r="N218" s="323" t="s">
        <v>847</v>
      </c>
      <c r="O218" s="323" t="s">
        <v>151</v>
      </c>
      <c r="P218" s="133">
        <v>169</v>
      </c>
      <c r="Q218" s="133">
        <v>775</v>
      </c>
      <c r="U218" s="323" t="s">
        <v>386</v>
      </c>
    </row>
    <row r="219" spans="1:21" x14ac:dyDescent="0.3">
      <c r="A219" s="323" t="s">
        <v>237</v>
      </c>
      <c r="B219" s="323" t="s">
        <v>276</v>
      </c>
      <c r="G219" s="323" t="s">
        <v>268</v>
      </c>
      <c r="H219" s="323" t="s">
        <v>267</v>
      </c>
      <c r="I219" s="323" t="s">
        <v>460</v>
      </c>
      <c r="J219" s="73">
        <v>40695</v>
      </c>
      <c r="K219" s="133">
        <v>67</v>
      </c>
      <c r="M219" s="323" t="s">
        <v>874</v>
      </c>
      <c r="N219" s="323" t="s">
        <v>877</v>
      </c>
      <c r="O219" s="323" t="s">
        <v>5</v>
      </c>
      <c r="P219" s="133"/>
      <c r="Q219" s="133"/>
      <c r="U219" s="323" t="s">
        <v>387</v>
      </c>
    </row>
    <row r="220" spans="1:21" x14ac:dyDescent="0.3">
      <c r="A220" s="323" t="s">
        <v>237</v>
      </c>
      <c r="B220" s="323" t="s">
        <v>278</v>
      </c>
      <c r="G220" s="323" t="s">
        <v>229</v>
      </c>
      <c r="H220" s="323" t="s">
        <v>228</v>
      </c>
      <c r="I220" s="323" t="s">
        <v>460</v>
      </c>
      <c r="J220" s="73">
        <v>41122</v>
      </c>
      <c r="K220" s="133">
        <v>48</v>
      </c>
      <c r="M220" s="323" t="s">
        <v>876</v>
      </c>
      <c r="N220" s="323" t="s">
        <v>875</v>
      </c>
      <c r="O220" s="323" t="s">
        <v>27</v>
      </c>
      <c r="P220" s="133">
        <v>30</v>
      </c>
      <c r="Q220" s="133">
        <v>172</v>
      </c>
      <c r="U220" s="323" t="s">
        <v>771</v>
      </c>
    </row>
    <row r="221" spans="1:21" x14ac:dyDescent="0.3">
      <c r="A221" s="323" t="s">
        <v>237</v>
      </c>
      <c r="B221" s="323" t="s">
        <v>280</v>
      </c>
      <c r="G221" s="323" t="s">
        <v>272</v>
      </c>
      <c r="H221" s="323" t="s">
        <v>271</v>
      </c>
      <c r="I221" s="323" t="s">
        <v>460</v>
      </c>
      <c r="J221" s="73">
        <v>41244</v>
      </c>
      <c r="K221" s="133">
        <v>75</v>
      </c>
      <c r="M221" s="323" t="s">
        <v>889</v>
      </c>
      <c r="N221" s="323" t="s">
        <v>888</v>
      </c>
      <c r="O221" s="323" t="s">
        <v>151</v>
      </c>
      <c r="P221" s="133"/>
      <c r="Q221" s="133"/>
      <c r="U221" s="323" t="s">
        <v>772</v>
      </c>
    </row>
    <row r="222" spans="1:21" x14ac:dyDescent="0.3">
      <c r="A222" s="323" t="s">
        <v>237</v>
      </c>
      <c r="B222" s="323" t="s">
        <v>238</v>
      </c>
      <c r="G222" s="323" t="s">
        <v>219</v>
      </c>
      <c r="H222" s="323" t="s">
        <v>218</v>
      </c>
      <c r="I222" s="323" t="s">
        <v>460</v>
      </c>
      <c r="J222" s="73">
        <v>41000</v>
      </c>
      <c r="K222" s="133">
        <v>651</v>
      </c>
      <c r="M222" s="323" t="s">
        <v>893</v>
      </c>
      <c r="N222" s="323" t="s">
        <v>892</v>
      </c>
      <c r="O222" s="323" t="s">
        <v>299</v>
      </c>
      <c r="P222" s="133">
        <v>10</v>
      </c>
      <c r="Q222" s="133">
        <v>56</v>
      </c>
      <c r="U222" s="323" t="s">
        <v>761</v>
      </c>
    </row>
    <row r="223" spans="1:21" x14ac:dyDescent="0.3">
      <c r="A223" s="323" t="s">
        <v>237</v>
      </c>
      <c r="B223" s="323" t="s">
        <v>248</v>
      </c>
      <c r="G223" s="323" t="s">
        <v>1030</v>
      </c>
      <c r="H223" s="323" t="s">
        <v>343</v>
      </c>
      <c r="I223" s="323" t="s">
        <v>460</v>
      </c>
      <c r="J223" s="73">
        <v>40725</v>
      </c>
      <c r="K223" s="133">
        <v>163</v>
      </c>
      <c r="M223" s="323" t="s">
        <v>904</v>
      </c>
      <c r="N223" s="323" t="s">
        <v>903</v>
      </c>
      <c r="O223" s="323" t="s">
        <v>230</v>
      </c>
      <c r="P223" s="133">
        <v>42</v>
      </c>
      <c r="Q223" s="133">
        <v>192</v>
      </c>
      <c r="U223" s="323" t="s">
        <v>762</v>
      </c>
    </row>
    <row r="224" spans="1:21" x14ac:dyDescent="0.3">
      <c r="A224" s="323" t="s">
        <v>237</v>
      </c>
      <c r="B224" s="323" t="s">
        <v>250</v>
      </c>
      <c r="G224" s="323" t="s">
        <v>1546</v>
      </c>
      <c r="H224" s="323" t="s">
        <v>1568</v>
      </c>
      <c r="I224" s="323" t="s">
        <v>460</v>
      </c>
      <c r="J224" s="73">
        <v>42370</v>
      </c>
      <c r="K224" s="133">
        <v>39</v>
      </c>
      <c r="M224" s="323" t="s">
        <v>906</v>
      </c>
      <c r="N224" s="323" t="s">
        <v>905</v>
      </c>
      <c r="O224" s="323" t="s">
        <v>288</v>
      </c>
      <c r="P224" s="133">
        <v>38</v>
      </c>
      <c r="Q224" s="133">
        <v>200</v>
      </c>
      <c r="U224" s="323" t="s">
        <v>838</v>
      </c>
    </row>
    <row r="225" spans="1:21" x14ac:dyDescent="0.3">
      <c r="A225" s="323" t="s">
        <v>237</v>
      </c>
      <c r="B225" s="323" t="s">
        <v>274</v>
      </c>
      <c r="G225" s="323" t="s">
        <v>1138</v>
      </c>
      <c r="H225" s="323" t="s">
        <v>1122</v>
      </c>
      <c r="I225" s="323" t="s">
        <v>460</v>
      </c>
      <c r="J225" s="73">
        <v>42370</v>
      </c>
      <c r="K225" s="133">
        <v>19</v>
      </c>
      <c r="M225" s="323" t="s">
        <v>910</v>
      </c>
      <c r="N225" s="323" t="s">
        <v>917</v>
      </c>
      <c r="O225" s="323" t="s">
        <v>288</v>
      </c>
      <c r="P225" s="133">
        <v>126</v>
      </c>
      <c r="Q225" s="133">
        <v>575</v>
      </c>
      <c r="U225" s="323" t="s">
        <v>840</v>
      </c>
    </row>
    <row r="226" spans="1:21" x14ac:dyDescent="0.3">
      <c r="A226" s="323" t="s">
        <v>237</v>
      </c>
      <c r="B226" s="323" t="s">
        <v>282</v>
      </c>
      <c r="G226" s="323" t="s">
        <v>790</v>
      </c>
      <c r="H226" s="323" t="s">
        <v>789</v>
      </c>
      <c r="I226" s="323" t="s">
        <v>460</v>
      </c>
      <c r="J226" s="73">
        <v>41091</v>
      </c>
      <c r="K226" s="133">
        <v>57</v>
      </c>
      <c r="M226" s="323" t="s">
        <v>912</v>
      </c>
      <c r="N226" s="323" t="s">
        <v>911</v>
      </c>
      <c r="O226" s="323" t="s">
        <v>151</v>
      </c>
      <c r="P226" s="133">
        <v>156</v>
      </c>
      <c r="Q226" s="133">
        <v>711</v>
      </c>
      <c r="U226" s="323" t="s">
        <v>904</v>
      </c>
    </row>
    <row r="227" spans="1:21" x14ac:dyDescent="0.3">
      <c r="A227" s="323" t="s">
        <v>237</v>
      </c>
      <c r="B227" s="323" t="s">
        <v>1031</v>
      </c>
      <c r="G227" s="323" t="s">
        <v>114</v>
      </c>
      <c r="H227" s="323" t="s">
        <v>113</v>
      </c>
      <c r="I227" s="323" t="s">
        <v>775</v>
      </c>
      <c r="J227" s="323" t="s">
        <v>1221</v>
      </c>
      <c r="K227" s="133">
        <v>0</v>
      </c>
      <c r="M227" s="323" t="s">
        <v>914</v>
      </c>
      <c r="N227" s="323" t="s">
        <v>913</v>
      </c>
      <c r="O227" s="323" t="s">
        <v>230</v>
      </c>
      <c r="P227" s="133">
        <v>18</v>
      </c>
      <c r="Q227" s="133">
        <v>80</v>
      </c>
      <c r="U227" s="323" t="s">
        <v>906</v>
      </c>
    </row>
    <row r="228" spans="1:21" x14ac:dyDescent="0.3">
      <c r="A228" s="323" t="s">
        <v>237</v>
      </c>
      <c r="B228" s="323" t="s">
        <v>1525</v>
      </c>
      <c r="G228" s="323" t="s">
        <v>364</v>
      </c>
      <c r="H228" s="323" t="s">
        <v>374</v>
      </c>
      <c r="I228" s="323" t="s">
        <v>460</v>
      </c>
      <c r="J228" s="73">
        <v>41275</v>
      </c>
      <c r="K228" s="133">
        <v>147</v>
      </c>
      <c r="M228" s="323" t="s">
        <v>916</v>
      </c>
      <c r="N228" s="323" t="s">
        <v>915</v>
      </c>
      <c r="O228" s="323" t="s">
        <v>480</v>
      </c>
      <c r="P228" s="133">
        <v>104</v>
      </c>
      <c r="Q228" s="133">
        <v>510</v>
      </c>
      <c r="U228" s="323" t="s">
        <v>910</v>
      </c>
    </row>
    <row r="229" spans="1:21" x14ac:dyDescent="0.3">
      <c r="A229" s="323" t="s">
        <v>237</v>
      </c>
      <c r="B229" s="323" t="s">
        <v>1529</v>
      </c>
      <c r="G229" s="323" t="s">
        <v>221</v>
      </c>
      <c r="H229" s="323" t="s">
        <v>220</v>
      </c>
      <c r="I229" s="323" t="s">
        <v>775</v>
      </c>
      <c r="J229" s="323" t="s">
        <v>1221</v>
      </c>
      <c r="K229" s="133"/>
      <c r="M229" s="323" t="s">
        <v>939</v>
      </c>
      <c r="N229" s="323" t="s">
        <v>938</v>
      </c>
      <c r="O229" s="323" t="s">
        <v>151</v>
      </c>
      <c r="P229" s="133">
        <v>154</v>
      </c>
      <c r="Q229" s="133">
        <v>670</v>
      </c>
      <c r="U229" s="323" t="s">
        <v>914</v>
      </c>
    </row>
    <row r="230" spans="1:21" x14ac:dyDescent="0.3">
      <c r="A230" s="323" t="s">
        <v>237</v>
      </c>
      <c r="B230" s="323" t="s">
        <v>1543</v>
      </c>
      <c r="G230" s="323" t="s">
        <v>353</v>
      </c>
      <c r="H230" s="323" t="s">
        <v>352</v>
      </c>
      <c r="I230" s="323" t="s">
        <v>460</v>
      </c>
      <c r="J230" s="73">
        <v>40848</v>
      </c>
      <c r="K230" s="133">
        <v>88</v>
      </c>
      <c r="M230" s="323" t="s">
        <v>942</v>
      </c>
      <c r="N230" s="323" t="s">
        <v>943</v>
      </c>
      <c r="O230" s="323" t="s">
        <v>146</v>
      </c>
      <c r="P230" s="133">
        <v>22</v>
      </c>
      <c r="Q230" s="133">
        <v>105</v>
      </c>
      <c r="U230" s="323" t="s">
        <v>939</v>
      </c>
    </row>
    <row r="231" spans="1:21" x14ac:dyDescent="0.3">
      <c r="A231" s="323" t="s">
        <v>237</v>
      </c>
      <c r="B231" s="323" t="s">
        <v>1857</v>
      </c>
      <c r="G231" s="323" t="s">
        <v>317</v>
      </c>
      <c r="H231" s="323" t="s">
        <v>316</v>
      </c>
      <c r="I231" s="323" t="s">
        <v>460</v>
      </c>
      <c r="J231" s="73">
        <v>40725</v>
      </c>
      <c r="K231" s="133">
        <v>119</v>
      </c>
      <c r="M231" s="323" t="s">
        <v>957</v>
      </c>
      <c r="N231" s="323" t="s">
        <v>956</v>
      </c>
      <c r="O231" s="323" t="s">
        <v>480</v>
      </c>
      <c r="P231" s="133"/>
      <c r="Q231" s="133"/>
      <c r="U231" s="323" t="s">
        <v>942</v>
      </c>
    </row>
    <row r="232" spans="1:21" x14ac:dyDescent="0.3">
      <c r="A232" s="323" t="s">
        <v>237</v>
      </c>
      <c r="B232" s="323" t="s">
        <v>1862</v>
      </c>
      <c r="G232" s="323" t="s">
        <v>340</v>
      </c>
      <c r="H232" s="323" t="s">
        <v>339</v>
      </c>
      <c r="I232" s="323" t="s">
        <v>460</v>
      </c>
      <c r="J232" s="73">
        <v>40695</v>
      </c>
      <c r="K232" s="133">
        <v>63</v>
      </c>
      <c r="M232" s="323" t="s">
        <v>986</v>
      </c>
      <c r="N232" s="323" t="s">
        <v>984</v>
      </c>
      <c r="O232" s="323" t="s">
        <v>180</v>
      </c>
      <c r="P232" s="133">
        <v>27</v>
      </c>
      <c r="Q232" s="133">
        <v>121</v>
      </c>
      <c r="U232" s="323" t="s">
        <v>957</v>
      </c>
    </row>
    <row r="233" spans="1:21" x14ac:dyDescent="0.3">
      <c r="A233" s="323" t="s">
        <v>288</v>
      </c>
      <c r="B233" s="323" t="s">
        <v>291</v>
      </c>
      <c r="G233" s="323" t="s">
        <v>337</v>
      </c>
      <c r="H233" s="323" t="s">
        <v>336</v>
      </c>
      <c r="I233" s="323" t="s">
        <v>460</v>
      </c>
      <c r="J233" s="73">
        <v>40695</v>
      </c>
      <c r="K233" s="133">
        <v>29</v>
      </c>
      <c r="M233" s="323" t="s">
        <v>987</v>
      </c>
      <c r="N233" s="323" t="s">
        <v>985</v>
      </c>
      <c r="O233" s="323" t="s">
        <v>180</v>
      </c>
      <c r="P233" s="133">
        <v>14</v>
      </c>
      <c r="Q233" s="133">
        <v>63</v>
      </c>
      <c r="U233" s="323" t="s">
        <v>986</v>
      </c>
    </row>
    <row r="234" spans="1:21" x14ac:dyDescent="0.3">
      <c r="A234" s="323" t="s">
        <v>288</v>
      </c>
      <c r="B234" s="323" t="s">
        <v>289</v>
      </c>
      <c r="G234" s="323" t="s">
        <v>349</v>
      </c>
      <c r="H234" s="323" t="s">
        <v>348</v>
      </c>
      <c r="I234" s="323" t="s">
        <v>460</v>
      </c>
      <c r="J234" s="73">
        <v>40940</v>
      </c>
      <c r="K234" s="133">
        <v>92</v>
      </c>
      <c r="M234" s="323" t="s">
        <v>1044</v>
      </c>
      <c r="N234" s="323" t="s">
        <v>1060</v>
      </c>
      <c r="O234" s="323" t="s">
        <v>719</v>
      </c>
      <c r="P234" s="133">
        <v>32</v>
      </c>
      <c r="Q234" s="133">
        <v>167</v>
      </c>
      <c r="U234" s="323" t="s">
        <v>987</v>
      </c>
    </row>
    <row r="235" spans="1:21" x14ac:dyDescent="0.3">
      <c r="A235" s="323" t="s">
        <v>288</v>
      </c>
      <c r="B235" s="323" t="s">
        <v>372</v>
      </c>
      <c r="G235" s="323" t="s">
        <v>118</v>
      </c>
      <c r="H235" s="323" t="s">
        <v>117</v>
      </c>
      <c r="I235" s="323" t="s">
        <v>460</v>
      </c>
      <c r="J235" s="73">
        <v>41275</v>
      </c>
      <c r="K235" s="133">
        <v>10</v>
      </c>
      <c r="M235" s="323" t="s">
        <v>1045</v>
      </c>
      <c r="N235" s="323" t="s">
        <v>1046</v>
      </c>
      <c r="O235" s="323" t="s">
        <v>299</v>
      </c>
      <c r="P235" s="133">
        <v>61</v>
      </c>
      <c r="Q235" s="133">
        <v>281</v>
      </c>
      <c r="U235" s="323" t="s">
        <v>1044</v>
      </c>
    </row>
    <row r="236" spans="1:21" x14ac:dyDescent="0.3">
      <c r="A236" s="323" t="s">
        <v>288</v>
      </c>
      <c r="B236" s="323" t="s">
        <v>373</v>
      </c>
      <c r="G236" s="323" t="s">
        <v>22</v>
      </c>
      <c r="H236" s="323" t="s">
        <v>21</v>
      </c>
      <c r="I236" s="323" t="s">
        <v>460</v>
      </c>
      <c r="J236" s="73">
        <v>40725</v>
      </c>
      <c r="K236" s="133">
        <v>641</v>
      </c>
      <c r="M236" s="323" t="s">
        <v>1055</v>
      </c>
      <c r="N236" s="323" t="s">
        <v>1063</v>
      </c>
      <c r="O236" s="323" t="s">
        <v>173</v>
      </c>
      <c r="P236" s="133"/>
      <c r="Q236" s="133"/>
      <c r="U236" s="323" t="s">
        <v>1045</v>
      </c>
    </row>
    <row r="237" spans="1:21" x14ac:dyDescent="0.3">
      <c r="A237" s="323" t="s">
        <v>288</v>
      </c>
      <c r="B237" s="323" t="s">
        <v>293</v>
      </c>
      <c r="G237" s="323" t="s">
        <v>122</v>
      </c>
      <c r="H237" s="323" t="s">
        <v>121</v>
      </c>
      <c r="I237" s="323" t="s">
        <v>775</v>
      </c>
      <c r="J237" s="323" t="s">
        <v>1221</v>
      </c>
      <c r="K237" s="133">
        <v>0</v>
      </c>
      <c r="M237" s="323" t="s">
        <v>1056</v>
      </c>
      <c r="N237" s="323" t="s">
        <v>1062</v>
      </c>
      <c r="O237" s="323" t="s">
        <v>173</v>
      </c>
      <c r="P237" s="133">
        <v>27</v>
      </c>
      <c r="Q237" s="133">
        <v>135</v>
      </c>
      <c r="U237" s="323" t="s">
        <v>1055</v>
      </c>
    </row>
    <row r="238" spans="1:21" x14ac:dyDescent="0.3">
      <c r="A238" s="323" t="s">
        <v>288</v>
      </c>
      <c r="B238" s="323" t="s">
        <v>905</v>
      </c>
      <c r="G238" s="323" t="s">
        <v>1263</v>
      </c>
      <c r="H238" s="323" t="s">
        <v>1567</v>
      </c>
      <c r="I238" s="323" t="s">
        <v>460</v>
      </c>
      <c r="J238" s="73">
        <v>42751</v>
      </c>
      <c r="K238" s="133">
        <v>80</v>
      </c>
      <c r="M238" s="323" t="s">
        <v>1057</v>
      </c>
      <c r="N238" s="323" t="s">
        <v>1054</v>
      </c>
      <c r="O238" s="323" t="s">
        <v>173</v>
      </c>
      <c r="P238" s="133">
        <v>6</v>
      </c>
      <c r="Q238" s="133">
        <v>31</v>
      </c>
      <c r="U238" s="323" t="s">
        <v>1056</v>
      </c>
    </row>
    <row r="239" spans="1:21" x14ac:dyDescent="0.3">
      <c r="A239" s="323" t="s">
        <v>288</v>
      </c>
      <c r="B239" s="323" t="s">
        <v>917</v>
      </c>
      <c r="G239" s="323" t="s">
        <v>124</v>
      </c>
      <c r="H239" s="323" t="s">
        <v>123</v>
      </c>
      <c r="I239" s="323" t="s">
        <v>775</v>
      </c>
      <c r="J239" s="73">
        <v>41275</v>
      </c>
      <c r="K239" s="133">
        <v>8</v>
      </c>
      <c r="M239" s="323" t="s">
        <v>1067</v>
      </c>
      <c r="N239" s="323" t="s">
        <v>1066</v>
      </c>
      <c r="O239" s="323" t="s">
        <v>746</v>
      </c>
      <c r="P239" s="133">
        <v>126</v>
      </c>
      <c r="Q239" s="133">
        <v>779</v>
      </c>
      <c r="U239" s="323" t="s">
        <v>1057</v>
      </c>
    </row>
    <row r="240" spans="1:21" x14ac:dyDescent="0.3">
      <c r="A240" s="323" t="s">
        <v>288</v>
      </c>
      <c r="B240" s="323" t="s">
        <v>1130</v>
      </c>
      <c r="G240" s="323" t="s">
        <v>1068</v>
      </c>
      <c r="H240" s="323" t="s">
        <v>1069</v>
      </c>
      <c r="I240" s="323" t="s">
        <v>460</v>
      </c>
      <c r="J240" s="73">
        <v>42036</v>
      </c>
      <c r="K240" s="133">
        <v>67</v>
      </c>
      <c r="M240" s="323" t="s">
        <v>1069</v>
      </c>
      <c r="N240" s="323" t="s">
        <v>1068</v>
      </c>
      <c r="O240" s="323" t="s">
        <v>746</v>
      </c>
      <c r="P240" s="133">
        <v>67</v>
      </c>
      <c r="Q240" s="133">
        <v>332</v>
      </c>
      <c r="U240" s="323" t="s">
        <v>1067</v>
      </c>
    </row>
    <row r="241" spans="1:21" x14ac:dyDescent="0.3">
      <c r="A241" s="323" t="s">
        <v>288</v>
      </c>
      <c r="B241" s="323" t="s">
        <v>1131</v>
      </c>
      <c r="G241" s="323" t="s">
        <v>96</v>
      </c>
      <c r="H241" s="323" t="s">
        <v>95</v>
      </c>
      <c r="I241" s="323" t="s">
        <v>775</v>
      </c>
      <c r="J241" s="323" t="s">
        <v>1221</v>
      </c>
      <c r="K241" s="133">
        <v>0</v>
      </c>
      <c r="M241" s="323" t="s">
        <v>1081</v>
      </c>
      <c r="N241" s="323" t="s">
        <v>1080</v>
      </c>
      <c r="O241" s="323" t="s">
        <v>185</v>
      </c>
      <c r="P241" s="133"/>
      <c r="Q241" s="133"/>
      <c r="U241" s="323" t="s">
        <v>1069</v>
      </c>
    </row>
    <row r="242" spans="1:21" x14ac:dyDescent="0.3">
      <c r="A242" s="323" t="s">
        <v>297</v>
      </c>
      <c r="B242" s="323" t="s">
        <v>759</v>
      </c>
      <c r="G242" s="323" t="s">
        <v>1063</v>
      </c>
      <c r="H242" s="323" t="s">
        <v>1055</v>
      </c>
      <c r="I242" s="323" t="s">
        <v>775</v>
      </c>
      <c r="J242" s="73">
        <v>42125</v>
      </c>
      <c r="K242" s="133"/>
      <c r="M242" s="323" t="s">
        <v>1083</v>
      </c>
      <c r="N242" s="323" t="s">
        <v>1082</v>
      </c>
      <c r="O242" s="323" t="s">
        <v>146</v>
      </c>
      <c r="P242" s="133">
        <v>105</v>
      </c>
      <c r="Q242" s="133">
        <v>568</v>
      </c>
      <c r="U242" s="323" t="s">
        <v>1081</v>
      </c>
    </row>
    <row r="243" spans="1:21" x14ac:dyDescent="0.3">
      <c r="A243" s="323" t="s">
        <v>297</v>
      </c>
      <c r="B243" s="323" t="s">
        <v>534</v>
      </c>
      <c r="G243" s="323" t="s">
        <v>1062</v>
      </c>
      <c r="H243" s="323" t="s">
        <v>1056</v>
      </c>
      <c r="I243" s="323" t="s">
        <v>460</v>
      </c>
      <c r="J243" s="73">
        <v>42125</v>
      </c>
      <c r="K243" s="133">
        <v>27</v>
      </c>
      <c r="M243" s="323" t="s">
        <v>1135</v>
      </c>
      <c r="N243" s="323" t="s">
        <v>1134</v>
      </c>
      <c r="O243" s="323" t="s">
        <v>480</v>
      </c>
      <c r="P243" s="133"/>
      <c r="Q243" s="133"/>
      <c r="U243" s="323" t="s">
        <v>1083</v>
      </c>
    </row>
    <row r="244" spans="1:21" x14ac:dyDescent="0.3">
      <c r="A244" s="323" t="s">
        <v>297</v>
      </c>
      <c r="B244" s="323" t="s">
        <v>1138</v>
      </c>
      <c r="G244" s="323" t="s">
        <v>875</v>
      </c>
      <c r="H244" s="323" t="s">
        <v>876</v>
      </c>
      <c r="I244" s="323" t="s">
        <v>460</v>
      </c>
      <c r="J244" s="73">
        <v>41091</v>
      </c>
      <c r="K244" s="133">
        <v>30</v>
      </c>
      <c r="M244" s="323" t="s">
        <v>1133</v>
      </c>
      <c r="N244" s="323" t="s">
        <v>295</v>
      </c>
      <c r="O244" s="323" t="s">
        <v>151</v>
      </c>
      <c r="P244" s="133"/>
      <c r="Q244" s="133"/>
      <c r="U244" s="323" t="s">
        <v>1135</v>
      </c>
    </row>
    <row r="245" spans="1:21" x14ac:dyDescent="0.3">
      <c r="A245" s="323" t="s">
        <v>297</v>
      </c>
      <c r="B245" s="323" t="s">
        <v>1187</v>
      </c>
      <c r="G245" s="323" t="s">
        <v>225</v>
      </c>
      <c r="H245" s="323" t="s">
        <v>224</v>
      </c>
      <c r="I245" s="323" t="s">
        <v>460</v>
      </c>
      <c r="J245" s="73">
        <v>41122</v>
      </c>
      <c r="K245" s="133">
        <v>43</v>
      </c>
      <c r="M245" s="323" t="s">
        <v>1121</v>
      </c>
      <c r="N245" s="323" t="s">
        <v>1651</v>
      </c>
      <c r="O245" s="323" t="s">
        <v>146</v>
      </c>
      <c r="P245" s="133">
        <v>108</v>
      </c>
      <c r="Q245" s="133">
        <v>527</v>
      </c>
      <c r="U245" s="323" t="s">
        <v>1133</v>
      </c>
    </row>
    <row r="246" spans="1:21" x14ac:dyDescent="0.3">
      <c r="A246" s="323" t="s">
        <v>297</v>
      </c>
      <c r="B246" s="323" t="s">
        <v>1189</v>
      </c>
      <c r="G246" s="323" t="s">
        <v>1269</v>
      </c>
      <c r="H246" s="323" t="s">
        <v>1267</v>
      </c>
      <c r="I246" s="323" t="s">
        <v>460</v>
      </c>
      <c r="J246" s="73">
        <v>42752</v>
      </c>
      <c r="K246" s="133">
        <v>413</v>
      </c>
      <c r="M246" s="323" t="s">
        <v>1122</v>
      </c>
      <c r="N246" s="323" t="s">
        <v>1138</v>
      </c>
      <c r="O246" s="323" t="s">
        <v>297</v>
      </c>
      <c r="P246" s="133">
        <v>19</v>
      </c>
      <c r="Q246" s="133">
        <v>82</v>
      </c>
      <c r="U246" s="323" t="s">
        <v>1121</v>
      </c>
    </row>
    <row r="247" spans="1:21" x14ac:dyDescent="0.3">
      <c r="A247" s="323" t="s">
        <v>297</v>
      </c>
      <c r="B247" s="323" t="s">
        <v>1190</v>
      </c>
      <c r="G247" s="323" t="s">
        <v>1159</v>
      </c>
      <c r="H247" s="323" t="s">
        <v>1162</v>
      </c>
      <c r="I247" s="323" t="s">
        <v>460</v>
      </c>
      <c r="J247" s="73">
        <v>42584</v>
      </c>
      <c r="K247" s="133">
        <v>29</v>
      </c>
      <c r="M247" s="323" t="s">
        <v>1123</v>
      </c>
      <c r="N247" s="323" t="s">
        <v>1141</v>
      </c>
      <c r="O247" s="323" t="s">
        <v>166</v>
      </c>
      <c r="P247" s="133">
        <v>36</v>
      </c>
      <c r="Q247" s="133">
        <v>188</v>
      </c>
      <c r="U247" s="323" t="s">
        <v>1122</v>
      </c>
    </row>
    <row r="248" spans="1:21" x14ac:dyDescent="0.3">
      <c r="A248" s="323" t="s">
        <v>297</v>
      </c>
      <c r="B248" s="323" t="s">
        <v>1191</v>
      </c>
      <c r="G248" s="323" t="s">
        <v>1158</v>
      </c>
      <c r="H248" s="323" t="s">
        <v>1164</v>
      </c>
      <c r="I248" s="323" t="s">
        <v>460</v>
      </c>
      <c r="J248" s="73">
        <v>42584</v>
      </c>
      <c r="K248" s="133">
        <v>5</v>
      </c>
      <c r="M248" s="323" t="s">
        <v>1124</v>
      </c>
      <c r="N248" s="323" t="s">
        <v>1130</v>
      </c>
      <c r="O248" s="323" t="s">
        <v>288</v>
      </c>
      <c r="P248" s="133"/>
      <c r="Q248" s="133"/>
      <c r="U248" s="323" t="s">
        <v>1123</v>
      </c>
    </row>
    <row r="249" spans="1:21" x14ac:dyDescent="0.3">
      <c r="A249" s="323" t="s">
        <v>297</v>
      </c>
      <c r="B249" s="323" t="s">
        <v>1192</v>
      </c>
      <c r="G249" s="323" t="s">
        <v>276</v>
      </c>
      <c r="H249" s="323" t="s">
        <v>275</v>
      </c>
      <c r="I249" s="323" t="s">
        <v>460</v>
      </c>
      <c r="J249" s="73">
        <v>40756</v>
      </c>
      <c r="K249" s="133">
        <v>118</v>
      </c>
      <c r="M249" s="323" t="s">
        <v>1125</v>
      </c>
      <c r="N249" s="323" t="s">
        <v>1131</v>
      </c>
      <c r="O249" s="323" t="s">
        <v>288</v>
      </c>
      <c r="P249" s="133">
        <v>61</v>
      </c>
      <c r="Q249" s="133">
        <v>276</v>
      </c>
      <c r="U249" s="323" t="s">
        <v>1124</v>
      </c>
    </row>
    <row r="250" spans="1:21" x14ac:dyDescent="0.3">
      <c r="A250" s="323" t="s">
        <v>297</v>
      </c>
      <c r="B250" s="323" t="s">
        <v>1281</v>
      </c>
      <c r="G250" s="323" t="s">
        <v>278</v>
      </c>
      <c r="H250" s="323" t="s">
        <v>277</v>
      </c>
      <c r="I250" s="323" t="s">
        <v>460</v>
      </c>
      <c r="J250" s="73">
        <v>40909</v>
      </c>
      <c r="K250" s="133">
        <v>23</v>
      </c>
      <c r="M250" s="323" t="s">
        <v>1126</v>
      </c>
      <c r="N250" s="323" t="s">
        <v>1596</v>
      </c>
      <c r="O250" s="323" t="s">
        <v>146</v>
      </c>
      <c r="P250" s="133">
        <v>41</v>
      </c>
      <c r="Q250" s="133">
        <v>137</v>
      </c>
      <c r="U250" s="323" t="s">
        <v>1125</v>
      </c>
    </row>
    <row r="251" spans="1:21" x14ac:dyDescent="0.3">
      <c r="A251" s="323" t="s">
        <v>299</v>
      </c>
      <c r="B251" s="323" t="s">
        <v>815</v>
      </c>
      <c r="G251" s="323" t="s">
        <v>345</v>
      </c>
      <c r="H251" s="323" t="s">
        <v>344</v>
      </c>
      <c r="I251" s="323" t="s">
        <v>460</v>
      </c>
      <c r="J251" s="73">
        <v>40848</v>
      </c>
      <c r="K251" s="133">
        <v>181</v>
      </c>
      <c r="M251" s="323" t="s">
        <v>1127</v>
      </c>
      <c r="N251" s="323" t="s">
        <v>1144</v>
      </c>
      <c r="O251" s="323" t="s">
        <v>719</v>
      </c>
      <c r="P251" s="133"/>
      <c r="Q251" s="133"/>
      <c r="U251" s="323" t="s">
        <v>1126</v>
      </c>
    </row>
    <row r="252" spans="1:21" x14ac:dyDescent="0.3">
      <c r="A252" s="323" t="s">
        <v>299</v>
      </c>
      <c r="B252" s="323" t="s">
        <v>300</v>
      </c>
      <c r="G252" s="323" t="s">
        <v>305</v>
      </c>
      <c r="H252" s="323" t="s">
        <v>304</v>
      </c>
      <c r="I252" s="323" t="s">
        <v>460</v>
      </c>
      <c r="J252" s="73">
        <v>40725</v>
      </c>
      <c r="K252" s="133">
        <v>88</v>
      </c>
      <c r="M252" s="323" t="s">
        <v>1128</v>
      </c>
      <c r="N252" s="323" t="s">
        <v>1147</v>
      </c>
      <c r="O252" s="323" t="s">
        <v>146</v>
      </c>
      <c r="P252" s="133">
        <v>30</v>
      </c>
      <c r="Q252" s="133">
        <v>170</v>
      </c>
      <c r="U252" s="323" t="s">
        <v>1127</v>
      </c>
    </row>
    <row r="253" spans="1:21" x14ac:dyDescent="0.3">
      <c r="A253" s="323" t="s">
        <v>299</v>
      </c>
      <c r="B253" s="323" t="s">
        <v>892</v>
      </c>
      <c r="G253" s="323" t="s">
        <v>307</v>
      </c>
      <c r="H253" s="323" t="s">
        <v>306</v>
      </c>
      <c r="I253" s="323" t="s">
        <v>460</v>
      </c>
      <c r="J253" s="73">
        <v>40725</v>
      </c>
      <c r="K253" s="133">
        <v>46</v>
      </c>
      <c r="M253" s="323" t="s">
        <v>1161</v>
      </c>
      <c r="N253" s="323" t="s">
        <v>1155</v>
      </c>
      <c r="O253" s="323" t="s">
        <v>480</v>
      </c>
      <c r="P253" s="133"/>
      <c r="Q253" s="133"/>
      <c r="U253" s="323" t="s">
        <v>1128</v>
      </c>
    </row>
    <row r="254" spans="1:21" x14ac:dyDescent="0.3">
      <c r="A254" s="323" t="s">
        <v>299</v>
      </c>
      <c r="B254" s="323" t="s">
        <v>1046</v>
      </c>
      <c r="G254" s="323" t="s">
        <v>1187</v>
      </c>
      <c r="H254" s="323" t="s">
        <v>1170</v>
      </c>
      <c r="I254" s="323" t="s">
        <v>775</v>
      </c>
      <c r="J254" s="323" t="s">
        <v>1221</v>
      </c>
      <c r="K254" s="133"/>
      <c r="M254" s="323" t="s">
        <v>1162</v>
      </c>
      <c r="N254" s="323" t="s">
        <v>1159</v>
      </c>
      <c r="O254" s="323" t="s">
        <v>480</v>
      </c>
      <c r="P254" s="133">
        <v>29</v>
      </c>
      <c r="Q254" s="133">
        <v>118</v>
      </c>
      <c r="U254" s="323" t="s">
        <v>1161</v>
      </c>
    </row>
    <row r="255" spans="1:21" x14ac:dyDescent="0.3">
      <c r="A255" s="323" t="s">
        <v>301</v>
      </c>
      <c r="B255" s="323" t="s">
        <v>12</v>
      </c>
      <c r="G255" s="323" t="s">
        <v>280</v>
      </c>
      <c r="H255" s="323" t="s">
        <v>279</v>
      </c>
      <c r="I255" s="323" t="s">
        <v>460</v>
      </c>
      <c r="J255" s="73">
        <v>40725</v>
      </c>
      <c r="K255" s="133">
        <v>91</v>
      </c>
      <c r="M255" s="323" t="s">
        <v>1163</v>
      </c>
      <c r="N255" s="323" t="s">
        <v>1156</v>
      </c>
      <c r="O255" s="323" t="s">
        <v>480</v>
      </c>
      <c r="P255" s="133"/>
      <c r="Q255" s="133"/>
      <c r="U255" s="323" t="s">
        <v>1162</v>
      </c>
    </row>
    <row r="256" spans="1:21" x14ac:dyDescent="0.3">
      <c r="A256" s="323" t="s">
        <v>301</v>
      </c>
      <c r="B256" s="323" t="s">
        <v>305</v>
      </c>
      <c r="G256" s="323" t="s">
        <v>813</v>
      </c>
      <c r="H256" s="323" t="s">
        <v>814</v>
      </c>
      <c r="I256" s="323" t="s">
        <v>775</v>
      </c>
      <c r="J256" s="323" t="s">
        <v>1221</v>
      </c>
      <c r="K256" s="133">
        <v>0</v>
      </c>
      <c r="M256" s="323" t="s">
        <v>1164</v>
      </c>
      <c r="N256" s="323" t="s">
        <v>1158</v>
      </c>
      <c r="O256" s="323" t="s">
        <v>480</v>
      </c>
      <c r="P256" s="133">
        <v>5</v>
      </c>
      <c r="Q256" s="133">
        <v>13</v>
      </c>
      <c r="U256" s="323" t="s">
        <v>1163</v>
      </c>
    </row>
    <row r="257" spans="1:21" x14ac:dyDescent="0.3">
      <c r="A257" s="323" t="s">
        <v>301</v>
      </c>
      <c r="B257" s="323" t="s">
        <v>307</v>
      </c>
      <c r="G257" s="323" t="s">
        <v>181</v>
      </c>
      <c r="H257" s="323" t="s">
        <v>179</v>
      </c>
      <c r="I257" s="323" t="s">
        <v>460</v>
      </c>
      <c r="J257" s="73">
        <v>41061</v>
      </c>
      <c r="K257" s="133">
        <v>11</v>
      </c>
      <c r="M257" s="323" t="s">
        <v>1165</v>
      </c>
      <c r="N257" s="323" t="s">
        <v>1157</v>
      </c>
      <c r="O257" s="323" t="s">
        <v>480</v>
      </c>
      <c r="P257" s="133">
        <v>21</v>
      </c>
      <c r="Q257" s="133">
        <v>90</v>
      </c>
      <c r="U257" s="323" t="s">
        <v>1164</v>
      </c>
    </row>
    <row r="258" spans="1:21" x14ac:dyDescent="0.3">
      <c r="A258" s="323" t="s">
        <v>746</v>
      </c>
      <c r="B258" s="323" t="s">
        <v>746</v>
      </c>
      <c r="G258" s="323" t="s">
        <v>822</v>
      </c>
      <c r="H258" s="323" t="s">
        <v>821</v>
      </c>
      <c r="I258" s="323" t="s">
        <v>775</v>
      </c>
      <c r="J258" s="323" t="s">
        <v>1221</v>
      </c>
      <c r="K258" s="133"/>
      <c r="M258" s="323" t="s">
        <v>1170</v>
      </c>
      <c r="N258" s="323" t="s">
        <v>1187</v>
      </c>
      <c r="O258" s="323" t="s">
        <v>297</v>
      </c>
      <c r="P258" s="133"/>
      <c r="Q258" s="133"/>
      <c r="U258" s="323" t="s">
        <v>1165</v>
      </c>
    </row>
    <row r="259" spans="1:21" x14ac:dyDescent="0.3">
      <c r="A259" s="323" t="s">
        <v>746</v>
      </c>
      <c r="B259" s="323" t="s">
        <v>1066</v>
      </c>
      <c r="G259" s="323" t="s">
        <v>1193</v>
      </c>
      <c r="H259" s="323" t="s">
        <v>1181</v>
      </c>
      <c r="I259" s="323" t="s">
        <v>775</v>
      </c>
      <c r="J259" s="323" t="s">
        <v>1221</v>
      </c>
      <c r="K259" s="133"/>
      <c r="M259" s="323" t="s">
        <v>1171</v>
      </c>
      <c r="N259" s="323" t="s">
        <v>1189</v>
      </c>
      <c r="O259" s="323" t="s">
        <v>297</v>
      </c>
      <c r="P259" s="133">
        <v>13</v>
      </c>
      <c r="Q259" s="133">
        <v>45</v>
      </c>
      <c r="U259" s="323" t="s">
        <v>1170</v>
      </c>
    </row>
    <row r="260" spans="1:21" x14ac:dyDescent="0.3">
      <c r="A260" s="323" t="s">
        <v>746</v>
      </c>
      <c r="B260" s="323" t="s">
        <v>1068</v>
      </c>
      <c r="G260" s="323" t="s">
        <v>746</v>
      </c>
      <c r="H260" s="323" t="s">
        <v>750</v>
      </c>
      <c r="I260" s="323" t="s">
        <v>460</v>
      </c>
      <c r="J260" s="323" t="s">
        <v>1221</v>
      </c>
      <c r="K260" s="133">
        <v>5</v>
      </c>
      <c r="M260" s="323" t="s">
        <v>1172</v>
      </c>
      <c r="N260" s="323" t="s">
        <v>1190</v>
      </c>
      <c r="O260" s="323" t="s">
        <v>297</v>
      </c>
      <c r="P260" s="133"/>
      <c r="Q260" s="133"/>
      <c r="U260" s="323" t="s">
        <v>1171</v>
      </c>
    </row>
    <row r="261" spans="1:21" x14ac:dyDescent="0.3">
      <c r="A261" s="323" t="s">
        <v>309</v>
      </c>
      <c r="B261" s="323" t="s">
        <v>356</v>
      </c>
      <c r="G261" s="323" t="s">
        <v>24</v>
      </c>
      <c r="H261" s="323" t="s">
        <v>23</v>
      </c>
      <c r="I261" s="323" t="s">
        <v>460</v>
      </c>
      <c r="J261" s="73">
        <v>41030</v>
      </c>
      <c r="K261" s="133">
        <v>20</v>
      </c>
      <c r="M261" s="323" t="s">
        <v>1173</v>
      </c>
      <c r="N261" s="323" t="s">
        <v>1191</v>
      </c>
      <c r="O261" s="323" t="s">
        <v>297</v>
      </c>
      <c r="P261" s="133"/>
      <c r="Q261" s="133"/>
      <c r="U261" s="323" t="s">
        <v>1172</v>
      </c>
    </row>
    <row r="262" spans="1:21" x14ac:dyDescent="0.3">
      <c r="A262" s="323" t="s">
        <v>309</v>
      </c>
      <c r="B262" s="323" t="s">
        <v>333</v>
      </c>
      <c r="G262" s="323" t="s">
        <v>1404</v>
      </c>
      <c r="H262" s="323" t="s">
        <v>1417</v>
      </c>
      <c r="I262" s="323" t="s">
        <v>460</v>
      </c>
      <c r="J262" s="73">
        <v>42741</v>
      </c>
      <c r="K262" s="133">
        <v>42</v>
      </c>
      <c r="M262" s="323" t="s">
        <v>1174</v>
      </c>
      <c r="N262" s="323" t="s">
        <v>1192</v>
      </c>
      <c r="O262" s="323" t="s">
        <v>297</v>
      </c>
      <c r="P262" s="133">
        <v>43</v>
      </c>
      <c r="Q262" s="133">
        <v>223</v>
      </c>
      <c r="U262" s="323" t="s">
        <v>1173</v>
      </c>
    </row>
    <row r="263" spans="1:21" x14ac:dyDescent="0.3">
      <c r="A263" s="323" t="s">
        <v>309</v>
      </c>
      <c r="B263" s="323" t="s">
        <v>312</v>
      </c>
      <c r="G263" s="323" t="s">
        <v>1406</v>
      </c>
      <c r="H263" s="323" t="s">
        <v>1419</v>
      </c>
      <c r="I263" s="323" t="s">
        <v>460</v>
      </c>
      <c r="J263" s="73">
        <v>42741</v>
      </c>
      <c r="K263" s="133">
        <v>36</v>
      </c>
      <c r="M263" s="323" t="s">
        <v>1175</v>
      </c>
      <c r="N263" s="323" t="s">
        <v>1199</v>
      </c>
      <c r="O263" s="323" t="s">
        <v>230</v>
      </c>
      <c r="P263" s="133"/>
      <c r="Q263" s="133"/>
      <c r="U263" s="323" t="s">
        <v>1174</v>
      </c>
    </row>
    <row r="264" spans="1:21" x14ac:dyDescent="0.3">
      <c r="A264" s="323" t="s">
        <v>309</v>
      </c>
      <c r="B264" s="323" t="s">
        <v>335</v>
      </c>
      <c r="G264" s="323" t="s">
        <v>1405</v>
      </c>
      <c r="H264" s="323" t="s">
        <v>1418</v>
      </c>
      <c r="I264" s="323" t="s">
        <v>460</v>
      </c>
      <c r="J264" s="73">
        <v>42741</v>
      </c>
      <c r="K264" s="133">
        <v>127</v>
      </c>
      <c r="M264" s="323" t="s">
        <v>1176</v>
      </c>
      <c r="N264" s="323" t="s">
        <v>1209</v>
      </c>
      <c r="O264" s="323" t="s">
        <v>230</v>
      </c>
      <c r="P264" s="133"/>
      <c r="Q264" s="133"/>
      <c r="U264" s="323" t="s">
        <v>1175</v>
      </c>
    </row>
    <row r="265" spans="1:21" x14ac:dyDescent="0.3">
      <c r="A265" s="323" t="s">
        <v>309</v>
      </c>
      <c r="B265" s="323" t="s">
        <v>751</v>
      </c>
      <c r="G265" s="323" t="s">
        <v>1413</v>
      </c>
      <c r="H265" s="323" t="s">
        <v>1416</v>
      </c>
      <c r="I265" s="323" t="s">
        <v>460</v>
      </c>
      <c r="J265" s="73">
        <v>42741</v>
      </c>
      <c r="K265" s="133">
        <v>30</v>
      </c>
      <c r="M265" s="323" t="s">
        <v>1177</v>
      </c>
      <c r="N265" s="323" t="s">
        <v>1210</v>
      </c>
      <c r="O265" s="323" t="s">
        <v>230</v>
      </c>
      <c r="P265" s="133"/>
      <c r="Q265" s="133"/>
      <c r="U265" s="323" t="s">
        <v>1176</v>
      </c>
    </row>
    <row r="266" spans="1:21" x14ac:dyDescent="0.3">
      <c r="A266" s="323" t="s">
        <v>309</v>
      </c>
      <c r="B266" s="323" t="s">
        <v>319</v>
      </c>
      <c r="G266" s="323" t="s">
        <v>1862</v>
      </c>
      <c r="H266" s="323" t="s">
        <v>1844</v>
      </c>
      <c r="I266" s="323" t="s">
        <v>460</v>
      </c>
      <c r="J266" s="73">
        <v>42851</v>
      </c>
      <c r="K266" s="133">
        <v>215</v>
      </c>
      <c r="M266" s="323" t="s">
        <v>1178</v>
      </c>
      <c r="N266" s="323" t="s">
        <v>1200</v>
      </c>
      <c r="O266" s="323" t="s">
        <v>230</v>
      </c>
      <c r="P266" s="133"/>
      <c r="Q266" s="133"/>
      <c r="U266" s="323" t="s">
        <v>1177</v>
      </c>
    </row>
    <row r="267" spans="1:21" x14ac:dyDescent="0.3">
      <c r="A267" s="323" t="s">
        <v>309</v>
      </c>
      <c r="B267" s="323" t="s">
        <v>321</v>
      </c>
      <c r="G267" s="323" t="s">
        <v>132</v>
      </c>
      <c r="H267" s="323" t="s">
        <v>131</v>
      </c>
      <c r="I267" s="323" t="s">
        <v>775</v>
      </c>
      <c r="J267" s="323" t="s">
        <v>1221</v>
      </c>
      <c r="K267" s="133">
        <v>0</v>
      </c>
      <c r="M267" s="323" t="s">
        <v>1179</v>
      </c>
      <c r="N267" s="323" t="s">
        <v>1211</v>
      </c>
      <c r="O267" s="323" t="s">
        <v>230</v>
      </c>
      <c r="P267" s="133"/>
      <c r="Q267" s="133"/>
      <c r="U267" s="323" t="s">
        <v>1178</v>
      </c>
    </row>
    <row r="268" spans="1:21" x14ac:dyDescent="0.3">
      <c r="A268" s="323" t="s">
        <v>309</v>
      </c>
      <c r="B268" s="323" t="s">
        <v>327</v>
      </c>
      <c r="G268" s="323" t="s">
        <v>227</v>
      </c>
      <c r="H268" s="323" t="s">
        <v>226</v>
      </c>
      <c r="I268" s="323" t="s">
        <v>775</v>
      </c>
      <c r="J268" s="323" t="s">
        <v>1221</v>
      </c>
      <c r="K268" s="133"/>
      <c r="M268" s="323" t="s">
        <v>1180</v>
      </c>
      <c r="N268" s="323" t="s">
        <v>1215</v>
      </c>
      <c r="O268" s="323" t="s">
        <v>230</v>
      </c>
      <c r="P268" s="133"/>
      <c r="Q268" s="133"/>
      <c r="U268" s="323" t="s">
        <v>1179</v>
      </c>
    </row>
    <row r="269" spans="1:21" x14ac:dyDescent="0.3">
      <c r="A269" s="323" t="s">
        <v>309</v>
      </c>
      <c r="B269" s="323" t="s">
        <v>329</v>
      </c>
      <c r="G269" s="323" t="s">
        <v>238</v>
      </c>
      <c r="H269" s="323" t="s">
        <v>236</v>
      </c>
      <c r="I269" s="323" t="s">
        <v>460</v>
      </c>
      <c r="J269" s="73">
        <v>40695</v>
      </c>
      <c r="K269" s="133">
        <v>73</v>
      </c>
      <c r="M269" s="323" t="s">
        <v>1181</v>
      </c>
      <c r="N269" s="323" t="s">
        <v>1193</v>
      </c>
      <c r="O269" s="323" t="s">
        <v>230</v>
      </c>
      <c r="P269" s="133"/>
      <c r="Q269" s="133"/>
      <c r="U269" s="323" t="s">
        <v>1180</v>
      </c>
    </row>
    <row r="270" spans="1:21" x14ac:dyDescent="0.3">
      <c r="A270" s="323" t="s">
        <v>309</v>
      </c>
      <c r="B270" s="323" t="s">
        <v>323</v>
      </c>
      <c r="G270" s="323" t="s">
        <v>1031</v>
      </c>
      <c r="H270" s="323" t="s">
        <v>241</v>
      </c>
      <c r="I270" s="323" t="s">
        <v>460</v>
      </c>
      <c r="J270" s="73">
        <v>41000</v>
      </c>
      <c r="K270" s="133">
        <v>57</v>
      </c>
      <c r="M270" s="323" t="s">
        <v>1182</v>
      </c>
      <c r="N270" s="323" t="s">
        <v>1194</v>
      </c>
      <c r="O270" s="323" t="s">
        <v>230</v>
      </c>
      <c r="P270" s="133"/>
      <c r="Q270" s="133"/>
      <c r="U270" s="323" t="s">
        <v>1181</v>
      </c>
    </row>
    <row r="271" spans="1:21" x14ac:dyDescent="0.3">
      <c r="A271" s="323" t="s">
        <v>309</v>
      </c>
      <c r="B271" s="323" t="s">
        <v>325</v>
      </c>
      <c r="G271" s="323" t="s">
        <v>248</v>
      </c>
      <c r="H271" s="323" t="s">
        <v>247</v>
      </c>
      <c r="I271" s="323" t="s">
        <v>460</v>
      </c>
      <c r="J271" s="73">
        <v>40756</v>
      </c>
      <c r="K271" s="133">
        <v>7</v>
      </c>
      <c r="M271" s="323" t="s">
        <v>1183</v>
      </c>
      <c r="N271" s="323" t="s">
        <v>1195</v>
      </c>
      <c r="O271" s="323" t="s">
        <v>230</v>
      </c>
      <c r="P271" s="133"/>
      <c r="Q271" s="133"/>
      <c r="U271" s="323" t="s">
        <v>1182</v>
      </c>
    </row>
    <row r="272" spans="1:21" x14ac:dyDescent="0.3">
      <c r="A272" s="323" t="s">
        <v>309</v>
      </c>
      <c r="B272" s="323" t="s">
        <v>331</v>
      </c>
      <c r="G272" s="323" t="s">
        <v>250</v>
      </c>
      <c r="H272" s="323" t="s">
        <v>249</v>
      </c>
      <c r="I272" s="323" t="s">
        <v>460</v>
      </c>
      <c r="J272" s="73">
        <v>40725</v>
      </c>
      <c r="K272" s="133">
        <v>32</v>
      </c>
      <c r="M272" s="323" t="s">
        <v>1184</v>
      </c>
      <c r="N272" s="323" t="s">
        <v>1196</v>
      </c>
      <c r="O272" s="323" t="s">
        <v>230</v>
      </c>
      <c r="P272" s="133"/>
      <c r="Q272" s="133"/>
      <c r="U272" s="323" t="s">
        <v>1183</v>
      </c>
    </row>
    <row r="273" spans="1:21" x14ac:dyDescent="0.3">
      <c r="A273" s="323" t="s">
        <v>309</v>
      </c>
      <c r="B273" s="323" t="s">
        <v>342</v>
      </c>
      <c r="G273" s="323" t="s">
        <v>274</v>
      </c>
      <c r="H273" s="323" t="s">
        <v>273</v>
      </c>
      <c r="I273" s="323" t="s">
        <v>460</v>
      </c>
      <c r="J273" s="73">
        <v>40817</v>
      </c>
      <c r="K273" s="133">
        <v>46</v>
      </c>
      <c r="M273" s="323" t="s">
        <v>1185</v>
      </c>
      <c r="N273" s="323" t="s">
        <v>1197</v>
      </c>
      <c r="O273" s="323" t="s">
        <v>230</v>
      </c>
      <c r="P273" s="133"/>
      <c r="Q273" s="133"/>
      <c r="U273" s="323" t="s">
        <v>1184</v>
      </c>
    </row>
    <row r="274" spans="1:21" x14ac:dyDescent="0.3">
      <c r="A274" s="323" t="s">
        <v>309</v>
      </c>
      <c r="B274" s="323" t="s">
        <v>353</v>
      </c>
      <c r="G274" s="323" t="s">
        <v>1156</v>
      </c>
      <c r="H274" s="323" t="s">
        <v>1163</v>
      </c>
      <c r="I274" s="323" t="s">
        <v>775</v>
      </c>
      <c r="J274" s="73">
        <v>42584</v>
      </c>
      <c r="K274" s="133"/>
      <c r="M274" s="323" t="s">
        <v>1186</v>
      </c>
      <c r="N274" s="323" t="s">
        <v>1198</v>
      </c>
      <c r="O274" s="323" t="s">
        <v>1201</v>
      </c>
      <c r="P274" s="133">
        <v>37</v>
      </c>
      <c r="Q274" s="133">
        <v>120</v>
      </c>
      <c r="U274" s="323" t="s">
        <v>1185</v>
      </c>
    </row>
    <row r="275" spans="1:21" x14ac:dyDescent="0.3">
      <c r="A275" s="323" t="s">
        <v>309</v>
      </c>
      <c r="B275" s="323" t="s">
        <v>317</v>
      </c>
      <c r="G275" s="323" t="s">
        <v>347</v>
      </c>
      <c r="H275" s="323" t="s">
        <v>346</v>
      </c>
      <c r="I275" s="323" t="s">
        <v>460</v>
      </c>
      <c r="J275" s="73">
        <v>40848</v>
      </c>
      <c r="K275" s="133">
        <v>46</v>
      </c>
      <c r="M275" s="323" t="s">
        <v>1232</v>
      </c>
      <c r="N275" s="323" t="s">
        <v>1233</v>
      </c>
      <c r="O275" s="323" t="s">
        <v>146</v>
      </c>
      <c r="P275" s="133">
        <v>39</v>
      </c>
      <c r="Q275" s="133">
        <v>145</v>
      </c>
      <c r="U275" s="323" t="s">
        <v>1186</v>
      </c>
    </row>
    <row r="276" spans="1:21" x14ac:dyDescent="0.3">
      <c r="A276" s="323" t="s">
        <v>309</v>
      </c>
      <c r="B276" s="323" t="s">
        <v>340</v>
      </c>
      <c r="G276" s="323" t="s">
        <v>877</v>
      </c>
      <c r="H276" s="323" t="s">
        <v>874</v>
      </c>
      <c r="I276" s="323" t="s">
        <v>775</v>
      </c>
      <c r="J276" s="323" t="s">
        <v>1221</v>
      </c>
      <c r="K276" s="133"/>
      <c r="M276" s="323" t="s">
        <v>1243</v>
      </c>
      <c r="N276" s="323" t="s">
        <v>1242</v>
      </c>
      <c r="O276" s="323" t="s">
        <v>146</v>
      </c>
      <c r="P276" s="133">
        <v>24</v>
      </c>
      <c r="Q276" s="133">
        <v>84</v>
      </c>
      <c r="U276" s="323" t="s">
        <v>1232</v>
      </c>
    </row>
    <row r="277" spans="1:21" x14ac:dyDescent="0.3">
      <c r="A277" s="323" t="s">
        <v>309</v>
      </c>
      <c r="B277" s="323" t="s">
        <v>337</v>
      </c>
      <c r="G277" s="323" t="s">
        <v>134</v>
      </c>
      <c r="H277" s="323" t="s">
        <v>133</v>
      </c>
      <c r="I277" s="323" t="s">
        <v>775</v>
      </c>
      <c r="J277" s="323" t="s">
        <v>1221</v>
      </c>
      <c r="K277" s="133"/>
      <c r="M277" s="323" t="s">
        <v>1247</v>
      </c>
      <c r="N277" s="323" t="s">
        <v>716</v>
      </c>
      <c r="O277" s="323" t="s">
        <v>230</v>
      </c>
      <c r="P277" s="133">
        <v>153</v>
      </c>
      <c r="Q277" s="133">
        <v>781</v>
      </c>
      <c r="U277" s="323" t="s">
        <v>1243</v>
      </c>
    </row>
    <row r="278" spans="1:21" x14ac:dyDescent="0.3">
      <c r="A278" s="323" t="s">
        <v>309</v>
      </c>
      <c r="B278" s="323" t="s">
        <v>349</v>
      </c>
      <c r="G278" s="323" t="s">
        <v>795</v>
      </c>
      <c r="H278" s="323" t="s">
        <v>783</v>
      </c>
      <c r="I278" s="323" t="s">
        <v>775</v>
      </c>
      <c r="J278" s="323" t="s">
        <v>1221</v>
      </c>
      <c r="K278" s="133">
        <v>0</v>
      </c>
      <c r="M278" s="323" t="s">
        <v>1255</v>
      </c>
      <c r="N278" s="323" t="s">
        <v>1258</v>
      </c>
      <c r="O278" s="323" t="s">
        <v>309</v>
      </c>
      <c r="P278" s="133">
        <v>62</v>
      </c>
      <c r="Q278" s="133">
        <v>410</v>
      </c>
      <c r="U278" s="323" t="s">
        <v>1247</v>
      </c>
    </row>
    <row r="279" spans="1:21" x14ac:dyDescent="0.3">
      <c r="A279" s="323" t="s">
        <v>309</v>
      </c>
      <c r="B279" s="323" t="s">
        <v>345</v>
      </c>
      <c r="G279" s="323" t="s">
        <v>300</v>
      </c>
      <c r="H279" s="323" t="s">
        <v>298</v>
      </c>
      <c r="I279" s="323" t="s">
        <v>460</v>
      </c>
      <c r="J279" s="323" t="s">
        <v>1221</v>
      </c>
      <c r="K279" s="133">
        <v>14</v>
      </c>
      <c r="M279" s="323" t="s">
        <v>1267</v>
      </c>
      <c r="N279" s="323" t="s">
        <v>1269</v>
      </c>
      <c r="O279" s="323" t="s">
        <v>309</v>
      </c>
      <c r="P279" s="133">
        <v>413</v>
      </c>
      <c r="Q279" s="133">
        <v>1913</v>
      </c>
      <c r="U279" s="323" t="s">
        <v>1255</v>
      </c>
    </row>
    <row r="280" spans="1:21" x14ac:dyDescent="0.3">
      <c r="A280" s="323" t="s">
        <v>309</v>
      </c>
      <c r="B280" s="323" t="s">
        <v>347</v>
      </c>
      <c r="G280" s="323" t="s">
        <v>1857</v>
      </c>
      <c r="H280" s="323" t="s">
        <v>1843</v>
      </c>
      <c r="I280" s="323" t="s">
        <v>460</v>
      </c>
      <c r="J280" s="73">
        <v>42851</v>
      </c>
      <c r="K280" s="133">
        <v>157</v>
      </c>
      <c r="M280" s="323" t="s">
        <v>1273</v>
      </c>
      <c r="N280" s="323" t="s">
        <v>1282</v>
      </c>
      <c r="O280" s="323" t="s">
        <v>480</v>
      </c>
      <c r="P280" s="133">
        <v>123</v>
      </c>
      <c r="Q280" s="133">
        <v>656</v>
      </c>
      <c r="U280" s="323" t="s">
        <v>1267</v>
      </c>
    </row>
    <row r="281" spans="1:21" x14ac:dyDescent="0.3">
      <c r="A281" s="323" t="s">
        <v>309</v>
      </c>
      <c r="B281" s="323" t="s">
        <v>315</v>
      </c>
      <c r="G281" s="323" t="s">
        <v>1144</v>
      </c>
      <c r="H281" s="323" t="s">
        <v>1127</v>
      </c>
      <c r="I281" s="323" t="s">
        <v>775</v>
      </c>
      <c r="J281" s="73">
        <v>42430</v>
      </c>
      <c r="K281" s="133"/>
      <c r="M281" s="323" t="s">
        <v>1280</v>
      </c>
      <c r="N281" s="323" t="s">
        <v>1281</v>
      </c>
      <c r="O281" s="323" t="s">
        <v>297</v>
      </c>
      <c r="P281" s="133">
        <v>59</v>
      </c>
      <c r="Q281" s="133">
        <v>273</v>
      </c>
      <c r="U281" s="323" t="s">
        <v>1273</v>
      </c>
    </row>
    <row r="282" spans="1:21" x14ac:dyDescent="0.3">
      <c r="A282" s="323" t="s">
        <v>309</v>
      </c>
      <c r="B282" s="323" t="s">
        <v>310</v>
      </c>
      <c r="G282" s="323" t="s">
        <v>315</v>
      </c>
      <c r="H282" s="323" t="s">
        <v>314</v>
      </c>
      <c r="I282" s="323" t="s">
        <v>460</v>
      </c>
      <c r="J282" s="73">
        <v>40848</v>
      </c>
      <c r="K282" s="133">
        <v>69</v>
      </c>
      <c r="M282" s="323" t="s">
        <v>1416</v>
      </c>
      <c r="N282" s="323" t="s">
        <v>1413</v>
      </c>
      <c r="O282" s="323" t="s">
        <v>1137</v>
      </c>
      <c r="P282" s="133">
        <v>30</v>
      </c>
      <c r="Q282" s="133">
        <v>130</v>
      </c>
      <c r="U282" s="323" t="s">
        <v>1280</v>
      </c>
    </row>
    <row r="283" spans="1:21" x14ac:dyDescent="0.3">
      <c r="A283" s="323" t="s">
        <v>309</v>
      </c>
      <c r="B283" s="323" t="s">
        <v>351</v>
      </c>
      <c r="G283" s="323" t="s">
        <v>310</v>
      </c>
      <c r="H283" s="323" t="s">
        <v>308</v>
      </c>
      <c r="I283" s="323" t="s">
        <v>775</v>
      </c>
      <c r="J283" s="73">
        <v>40848</v>
      </c>
      <c r="K283" s="133"/>
      <c r="M283" s="323" t="s">
        <v>1417</v>
      </c>
      <c r="N283" s="323" t="s">
        <v>1404</v>
      </c>
      <c r="O283" s="323" t="s">
        <v>1137</v>
      </c>
      <c r="P283" s="133">
        <v>42</v>
      </c>
      <c r="Q283" s="133">
        <v>190</v>
      </c>
      <c r="U283" s="323" t="s">
        <v>1416</v>
      </c>
    </row>
    <row r="284" spans="1:21" x14ac:dyDescent="0.3">
      <c r="A284" s="323" t="s">
        <v>309</v>
      </c>
      <c r="B284" s="323" t="s">
        <v>1033</v>
      </c>
      <c r="G284" s="323" t="s">
        <v>1134</v>
      </c>
      <c r="H284" s="323" t="s">
        <v>1135</v>
      </c>
      <c r="I284" s="323" t="s">
        <v>775</v>
      </c>
      <c r="J284" s="73">
        <v>42370</v>
      </c>
      <c r="K284" s="133"/>
      <c r="M284" s="323" t="s">
        <v>1418</v>
      </c>
      <c r="N284" s="323" t="s">
        <v>1405</v>
      </c>
      <c r="O284" s="323" t="s">
        <v>1137</v>
      </c>
      <c r="P284" s="133">
        <v>127</v>
      </c>
      <c r="Q284" s="133">
        <v>450</v>
      </c>
      <c r="U284" s="323" t="s">
        <v>1417</v>
      </c>
    </row>
    <row r="285" spans="1:21" x14ac:dyDescent="0.3">
      <c r="A285" s="323" t="s">
        <v>309</v>
      </c>
      <c r="B285" s="323" t="s">
        <v>1034</v>
      </c>
      <c r="G285" s="323" t="s">
        <v>64</v>
      </c>
      <c r="H285" s="323" t="s">
        <v>63</v>
      </c>
      <c r="I285" s="323" t="s">
        <v>775</v>
      </c>
      <c r="J285" s="73">
        <v>41275</v>
      </c>
      <c r="K285" s="133"/>
      <c r="M285" s="323" t="s">
        <v>1419</v>
      </c>
      <c r="N285" s="323" t="s">
        <v>1406</v>
      </c>
      <c r="O285" s="323" t="s">
        <v>1137</v>
      </c>
      <c r="P285" s="133">
        <v>36</v>
      </c>
      <c r="Q285" s="133">
        <v>145</v>
      </c>
      <c r="U285" s="323" t="s">
        <v>1418</v>
      </c>
    </row>
    <row r="286" spans="1:21" x14ac:dyDescent="0.3">
      <c r="A286" s="323" t="s">
        <v>309</v>
      </c>
      <c r="B286" s="323" t="s">
        <v>1035</v>
      </c>
      <c r="G286" s="323" t="s">
        <v>126</v>
      </c>
      <c r="H286" s="323" t="s">
        <v>125</v>
      </c>
      <c r="I286" s="323" t="s">
        <v>460</v>
      </c>
      <c r="J286" s="73">
        <v>41275</v>
      </c>
      <c r="K286" s="133">
        <v>32</v>
      </c>
      <c r="M286" s="323" t="s">
        <v>1564</v>
      </c>
      <c r="N286" s="323" t="s">
        <v>1534</v>
      </c>
      <c r="O286" s="323" t="s">
        <v>173</v>
      </c>
      <c r="P286" s="133">
        <v>245</v>
      </c>
      <c r="Q286" s="133">
        <v>1084</v>
      </c>
      <c r="U286" s="323" t="s">
        <v>1419</v>
      </c>
    </row>
    <row r="287" spans="1:21" x14ac:dyDescent="0.3">
      <c r="A287" s="323" t="s">
        <v>309</v>
      </c>
      <c r="B287" s="323" t="s">
        <v>1030</v>
      </c>
      <c r="G287" s="323" t="s">
        <v>1197</v>
      </c>
      <c r="H287" s="323" t="s">
        <v>1185</v>
      </c>
      <c r="I287" s="323" t="s">
        <v>775</v>
      </c>
      <c r="J287" s="323" t="s">
        <v>1221</v>
      </c>
      <c r="K287" s="133"/>
      <c r="M287" s="323" t="s">
        <v>1565</v>
      </c>
      <c r="N287" s="323" t="s">
        <v>1529</v>
      </c>
      <c r="O287" s="323" t="s">
        <v>237</v>
      </c>
      <c r="P287" s="133">
        <v>19</v>
      </c>
      <c r="Q287" s="133">
        <v>46</v>
      </c>
      <c r="U287" s="323" t="s">
        <v>1564</v>
      </c>
    </row>
    <row r="288" spans="1:21" x14ac:dyDescent="0.3">
      <c r="A288" s="323" t="s">
        <v>309</v>
      </c>
      <c r="B288" s="323" t="s">
        <v>1032</v>
      </c>
      <c r="G288" s="323" t="s">
        <v>351</v>
      </c>
      <c r="H288" s="323" t="s">
        <v>350</v>
      </c>
      <c r="I288" s="323" t="s">
        <v>460</v>
      </c>
      <c r="J288" s="73">
        <v>40695</v>
      </c>
      <c r="K288" s="133">
        <v>1433</v>
      </c>
      <c r="M288" s="323" t="s">
        <v>1566</v>
      </c>
      <c r="N288" s="323" t="s">
        <v>1543</v>
      </c>
      <c r="O288" s="323" t="s">
        <v>237</v>
      </c>
      <c r="P288" s="133">
        <v>25</v>
      </c>
      <c r="Q288" s="133">
        <v>69</v>
      </c>
      <c r="U288" s="323" t="s">
        <v>1565</v>
      </c>
    </row>
    <row r="289" spans="1:21" x14ac:dyDescent="0.3">
      <c r="A289" s="323" t="s">
        <v>309</v>
      </c>
      <c r="B289" s="323" t="s">
        <v>1258</v>
      </c>
      <c r="G289" s="323" t="s">
        <v>37</v>
      </c>
      <c r="H289" s="323" t="s">
        <v>36</v>
      </c>
      <c r="I289" s="323" t="s">
        <v>775</v>
      </c>
      <c r="J289" s="323" t="s">
        <v>1221</v>
      </c>
      <c r="K289" s="133"/>
      <c r="M289" s="323" t="s">
        <v>1567</v>
      </c>
      <c r="N289" s="323" t="s">
        <v>1263</v>
      </c>
      <c r="O289" s="323" t="s">
        <v>309</v>
      </c>
      <c r="P289" s="133">
        <v>80</v>
      </c>
      <c r="Q289" s="133">
        <v>449</v>
      </c>
      <c r="U289" s="323" t="s">
        <v>1566</v>
      </c>
    </row>
    <row r="290" spans="1:21" x14ac:dyDescent="0.3">
      <c r="A290" s="323" t="s">
        <v>309</v>
      </c>
      <c r="B290" s="323" t="s">
        <v>1269</v>
      </c>
      <c r="G290" s="323" t="s">
        <v>74</v>
      </c>
      <c r="H290" s="323" t="s">
        <v>73</v>
      </c>
      <c r="I290" s="323" t="s">
        <v>775</v>
      </c>
      <c r="J290" s="323" t="s">
        <v>1221</v>
      </c>
      <c r="K290" s="133"/>
      <c r="M290" s="323" t="s">
        <v>1568</v>
      </c>
      <c r="N290" s="323" t="s">
        <v>1546</v>
      </c>
      <c r="O290" s="323" t="s">
        <v>146</v>
      </c>
      <c r="P290" s="133">
        <v>39</v>
      </c>
      <c r="Q290" s="133">
        <v>202</v>
      </c>
      <c r="U290" s="323" t="s">
        <v>1567</v>
      </c>
    </row>
    <row r="291" spans="1:21" x14ac:dyDescent="0.3">
      <c r="A291" s="323" t="s">
        <v>309</v>
      </c>
      <c r="B291" s="323" t="s">
        <v>1263</v>
      </c>
      <c r="G291" s="323" t="s">
        <v>282</v>
      </c>
      <c r="H291" s="323" t="s">
        <v>281</v>
      </c>
      <c r="I291" s="323" t="s">
        <v>775</v>
      </c>
      <c r="J291" s="73">
        <v>41000</v>
      </c>
      <c r="K291" s="133">
        <v>7</v>
      </c>
      <c r="M291" s="323" t="s">
        <v>1839</v>
      </c>
      <c r="N291" s="323" t="s">
        <v>1851</v>
      </c>
      <c r="O291" s="323" t="s">
        <v>173</v>
      </c>
      <c r="P291" s="133">
        <v>45</v>
      </c>
      <c r="Q291" s="133">
        <v>212</v>
      </c>
      <c r="U291" s="323" t="s">
        <v>1568</v>
      </c>
    </row>
    <row r="292" spans="1:21" x14ac:dyDescent="0.3">
      <c r="A292" s="323" t="s">
        <v>1201</v>
      </c>
      <c r="B292" s="323" t="s">
        <v>1198</v>
      </c>
      <c r="G292" s="323" t="s">
        <v>26</v>
      </c>
      <c r="H292" s="323" t="s">
        <v>25</v>
      </c>
      <c r="I292" s="323" t="s">
        <v>460</v>
      </c>
      <c r="J292" s="73">
        <v>41122</v>
      </c>
      <c r="K292" s="133">
        <v>14</v>
      </c>
      <c r="M292" s="323" t="s">
        <v>1840</v>
      </c>
      <c r="N292" s="323" t="s">
        <v>1852</v>
      </c>
      <c r="O292" s="323" t="s">
        <v>173</v>
      </c>
      <c r="P292" s="133">
        <v>89</v>
      </c>
      <c r="Q292" s="133">
        <v>372</v>
      </c>
      <c r="U292" s="323" t="s">
        <v>1839</v>
      </c>
    </row>
    <row r="293" spans="1:21" x14ac:dyDescent="0.3">
      <c r="A293" s="323" t="s">
        <v>1137</v>
      </c>
      <c r="B293" s="323" t="s">
        <v>1404</v>
      </c>
      <c r="G293" s="323" t="s">
        <v>140</v>
      </c>
      <c r="H293" s="323" t="s">
        <v>139</v>
      </c>
      <c r="I293" s="323" t="s">
        <v>460</v>
      </c>
      <c r="J293" s="73">
        <v>41122</v>
      </c>
      <c r="K293" s="133">
        <v>16</v>
      </c>
      <c r="M293" s="323" t="s">
        <v>1841</v>
      </c>
      <c r="N293" s="323" t="s">
        <v>1853</v>
      </c>
      <c r="O293" s="323" t="s">
        <v>173</v>
      </c>
      <c r="P293" s="133">
        <v>110</v>
      </c>
      <c r="Q293" s="133">
        <v>475</v>
      </c>
      <c r="U293" s="323" t="s">
        <v>1840</v>
      </c>
    </row>
    <row r="294" spans="1:21" x14ac:dyDescent="0.3">
      <c r="A294" s="323" t="s">
        <v>1137</v>
      </c>
      <c r="B294" s="323" t="s">
        <v>1405</v>
      </c>
      <c r="G294" s="323" t="s">
        <v>1032</v>
      </c>
      <c r="H294" s="323" t="s">
        <v>354</v>
      </c>
      <c r="I294" s="323" t="s">
        <v>775</v>
      </c>
      <c r="J294" s="73">
        <v>40848</v>
      </c>
      <c r="K294" s="133"/>
      <c r="M294" s="323" t="s">
        <v>1842</v>
      </c>
      <c r="N294" s="323" t="s">
        <v>1856</v>
      </c>
      <c r="O294" s="323" t="s">
        <v>173</v>
      </c>
      <c r="P294" s="133">
        <v>33</v>
      </c>
      <c r="Q294" s="133">
        <v>81</v>
      </c>
      <c r="U294" s="323" t="s">
        <v>1841</v>
      </c>
    </row>
    <row r="295" spans="1:21" x14ac:dyDescent="0.3">
      <c r="A295" s="323" t="s">
        <v>1137</v>
      </c>
      <c r="B295" s="323" t="s">
        <v>1406</v>
      </c>
      <c r="G295" s="323" t="s">
        <v>467</v>
      </c>
      <c r="H295" s="323" t="s">
        <v>468</v>
      </c>
      <c r="I295" s="323" t="s">
        <v>775</v>
      </c>
      <c r="J295" s="323" t="s">
        <v>1221</v>
      </c>
      <c r="K295" s="133">
        <v>0</v>
      </c>
      <c r="M295" s="323" t="s">
        <v>1843</v>
      </c>
      <c r="N295" s="323" t="s">
        <v>1857</v>
      </c>
      <c r="O295" s="323" t="s">
        <v>237</v>
      </c>
      <c r="P295" s="133">
        <v>157</v>
      </c>
      <c r="Q295" s="133">
        <v>749</v>
      </c>
      <c r="U295" s="323" t="s">
        <v>1842</v>
      </c>
    </row>
    <row r="296" spans="1:21" x14ac:dyDescent="0.3">
      <c r="A296" s="323" t="s">
        <v>1137</v>
      </c>
      <c r="B296" s="323" t="s">
        <v>1413</v>
      </c>
      <c r="G296" s="323" t="s">
        <v>371</v>
      </c>
      <c r="H296" s="323" t="s">
        <v>385</v>
      </c>
      <c r="I296" s="323" t="s">
        <v>460</v>
      </c>
      <c r="J296" s="73">
        <v>41244</v>
      </c>
      <c r="K296" s="133">
        <v>198</v>
      </c>
      <c r="M296" s="323" t="s">
        <v>1844</v>
      </c>
      <c r="N296" s="323" t="s">
        <v>1862</v>
      </c>
      <c r="O296" s="323" t="s">
        <v>237</v>
      </c>
      <c r="P296" s="133">
        <v>215</v>
      </c>
      <c r="Q296" s="133">
        <v>1048</v>
      </c>
      <c r="U296" s="323" t="s">
        <v>1843</v>
      </c>
    </row>
    <row r="297" spans="1:21" x14ac:dyDescent="0.3">
      <c r="M297"/>
      <c r="N297"/>
      <c r="O297"/>
      <c r="P297"/>
      <c r="U297" s="323" t="s">
        <v>1844</v>
      </c>
    </row>
    <row r="298" spans="1:21" x14ac:dyDescent="0.3">
      <c r="M298"/>
      <c r="N298"/>
      <c r="O298"/>
      <c r="P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4.4" x14ac:dyDescent="0.3"/>
  <cols>
    <col min="1" max="1" width="14.33203125" customWidth="1"/>
    <col min="2" max="2" width="25.33203125" style="36" customWidth="1"/>
    <col min="3" max="3" width="47.33203125" customWidth="1"/>
    <col min="4" max="4" width="16" customWidth="1"/>
    <col min="6" max="7" width="0" hidden="1" customWidth="1"/>
    <col min="8" max="8" width="49.88671875" style="3" customWidth="1"/>
    <col min="9" max="9" width="10.33203125" style="3" customWidth="1"/>
    <col min="10" max="10" width="18" style="3" customWidth="1"/>
    <col min="11" max="11" width="21.88671875" customWidth="1"/>
    <col min="12" max="12" width="7.44140625" customWidth="1"/>
    <col min="13" max="13" width="13.6640625" customWidth="1"/>
  </cols>
  <sheetData>
    <row r="1" spans="1:10" x14ac:dyDescent="0.3">
      <c r="A1" s="105" t="s">
        <v>458</v>
      </c>
      <c r="B1" s="322" t="s">
        <v>958</v>
      </c>
      <c r="H1"/>
      <c r="I1"/>
    </row>
    <row r="2" spans="1:10" x14ac:dyDescent="0.3">
      <c r="H2" s="198" t="s">
        <v>458</v>
      </c>
      <c r="I2" s="200" t="s">
        <v>460</v>
      </c>
    </row>
    <row r="3" spans="1:10" x14ac:dyDescent="0.3">
      <c r="A3" s="167" t="s">
        <v>0</v>
      </c>
      <c r="B3" s="168" t="s">
        <v>511</v>
      </c>
      <c r="C3" s="113" t="s">
        <v>463</v>
      </c>
      <c r="D3" s="111" t="s">
        <v>865</v>
      </c>
    </row>
    <row r="4" spans="1:10" x14ac:dyDescent="0.3">
      <c r="A4" s="173" t="s">
        <v>5</v>
      </c>
      <c r="B4" s="173" t="s">
        <v>21</v>
      </c>
      <c r="C4" s="322" t="s">
        <v>22</v>
      </c>
      <c r="D4" s="176">
        <v>0.66614420062695934</v>
      </c>
      <c r="H4" s="167" t="s">
        <v>410</v>
      </c>
      <c r="I4" s="146" t="s">
        <v>794</v>
      </c>
      <c r="J4"/>
    </row>
    <row r="5" spans="1:10" x14ac:dyDescent="0.3">
      <c r="A5" s="109"/>
      <c r="B5" s="109" t="s">
        <v>17</v>
      </c>
      <c r="C5" s="322" t="s">
        <v>18</v>
      </c>
      <c r="D5" s="177">
        <v>0.7846153846153846</v>
      </c>
      <c r="H5" s="169" t="s">
        <v>309</v>
      </c>
      <c r="I5" s="405">
        <v>4869</v>
      </c>
      <c r="J5"/>
    </row>
    <row r="6" spans="1:10" x14ac:dyDescent="0.3">
      <c r="A6" s="109"/>
      <c r="B6" s="109" t="s">
        <v>4</v>
      </c>
      <c r="C6" s="322" t="s">
        <v>6</v>
      </c>
      <c r="D6" s="177">
        <v>0.66147859922178998</v>
      </c>
      <c r="H6" s="286" t="s">
        <v>333</v>
      </c>
      <c r="I6" s="405">
        <v>125</v>
      </c>
      <c r="J6"/>
    </row>
    <row r="7" spans="1:10" x14ac:dyDescent="0.3">
      <c r="A7" s="109"/>
      <c r="B7" s="109" t="s">
        <v>13</v>
      </c>
      <c r="C7" s="322" t="s">
        <v>14</v>
      </c>
      <c r="D7" s="177">
        <v>1</v>
      </c>
      <c r="H7" s="286" t="s">
        <v>312</v>
      </c>
      <c r="I7" s="405">
        <v>103</v>
      </c>
      <c r="J7"/>
    </row>
    <row r="8" spans="1:10" x14ac:dyDescent="0.3">
      <c r="A8" s="109"/>
      <c r="B8" s="109" t="s">
        <v>25</v>
      </c>
      <c r="C8" s="322" t="s">
        <v>26</v>
      </c>
      <c r="D8" s="177">
        <v>2.8000000000000003</v>
      </c>
      <c r="H8" s="286" t="s">
        <v>335</v>
      </c>
      <c r="I8" s="405">
        <v>154</v>
      </c>
      <c r="J8"/>
    </row>
    <row r="9" spans="1:10" x14ac:dyDescent="0.3">
      <c r="A9" s="109"/>
      <c r="B9" s="109" t="s">
        <v>19</v>
      </c>
      <c r="C9" s="322" t="s">
        <v>20</v>
      </c>
      <c r="D9" s="177">
        <v>0.47619047619047616</v>
      </c>
      <c r="H9" s="286" t="s">
        <v>751</v>
      </c>
      <c r="I9" s="405"/>
      <c r="J9"/>
    </row>
    <row r="10" spans="1:10" x14ac:dyDescent="0.3">
      <c r="A10" s="109"/>
      <c r="B10" s="109" t="s">
        <v>23</v>
      </c>
      <c r="C10" s="322" t="s">
        <v>24</v>
      </c>
      <c r="D10" s="177">
        <v>1.75</v>
      </c>
      <c r="H10" s="286" t="s">
        <v>319</v>
      </c>
      <c r="I10" s="405">
        <v>30</v>
      </c>
      <c r="J10"/>
    </row>
    <row r="11" spans="1:10" x14ac:dyDescent="0.3">
      <c r="A11" s="109"/>
      <c r="B11" s="109" t="s">
        <v>374</v>
      </c>
      <c r="C11" s="322" t="s">
        <v>364</v>
      </c>
      <c r="D11" s="177">
        <v>0.82352941176470584</v>
      </c>
      <c r="H11" s="286" t="s">
        <v>321</v>
      </c>
      <c r="I11" s="405">
        <v>418</v>
      </c>
      <c r="J11"/>
    </row>
    <row r="12" spans="1:10" x14ac:dyDescent="0.3">
      <c r="A12" s="109"/>
      <c r="B12" s="109" t="s">
        <v>7</v>
      </c>
      <c r="C12" s="322" t="s">
        <v>8</v>
      </c>
      <c r="D12" s="177">
        <v>1.3846153846153846</v>
      </c>
      <c r="H12" s="286" t="s">
        <v>327</v>
      </c>
      <c r="I12" s="405">
        <v>339</v>
      </c>
      <c r="J12"/>
    </row>
    <row r="13" spans="1:10" x14ac:dyDescent="0.3">
      <c r="A13" s="110"/>
      <c r="B13" s="110" t="s">
        <v>375</v>
      </c>
      <c r="C13" s="322" t="s">
        <v>465</v>
      </c>
      <c r="D13" s="178">
        <v>1.8333333333333335</v>
      </c>
      <c r="H13" s="286" t="s">
        <v>329</v>
      </c>
      <c r="I13" s="405">
        <v>285</v>
      </c>
      <c r="J13"/>
    </row>
    <row r="14" spans="1:10" x14ac:dyDescent="0.3">
      <c r="A14" s="109" t="s">
        <v>27</v>
      </c>
      <c r="B14" s="109" t="s">
        <v>30</v>
      </c>
      <c r="C14" s="110" t="s">
        <v>28</v>
      </c>
      <c r="D14" s="177">
        <v>0.9907407407407407</v>
      </c>
      <c r="H14" s="286" t="s">
        <v>323</v>
      </c>
      <c r="I14" s="405">
        <v>510</v>
      </c>
      <c r="J14"/>
    </row>
    <row r="15" spans="1:10" x14ac:dyDescent="0.3">
      <c r="A15" s="109"/>
      <c r="B15" s="109" t="s">
        <v>376</v>
      </c>
      <c r="C15" s="110" t="s">
        <v>363</v>
      </c>
      <c r="D15" s="177">
        <v>0.50694444444444442</v>
      </c>
      <c r="H15" s="286" t="s">
        <v>325</v>
      </c>
      <c r="I15" s="405">
        <v>47</v>
      </c>
      <c r="J15"/>
    </row>
    <row r="16" spans="1:10" x14ac:dyDescent="0.3">
      <c r="A16" s="109"/>
      <c r="B16" s="110" t="s">
        <v>789</v>
      </c>
      <c r="C16" s="110" t="s">
        <v>790</v>
      </c>
      <c r="D16" s="178">
        <v>0</v>
      </c>
      <c r="H16" s="286" t="s">
        <v>342</v>
      </c>
      <c r="I16" s="405">
        <v>20</v>
      </c>
      <c r="J16"/>
    </row>
    <row r="17" spans="1:10" x14ac:dyDescent="0.3">
      <c r="A17" s="109"/>
      <c r="B17" s="132" t="s">
        <v>29</v>
      </c>
      <c r="C17" s="132" t="s">
        <v>362</v>
      </c>
      <c r="D17" s="112">
        <v>0</v>
      </c>
      <c r="H17" s="333" t="s">
        <v>353</v>
      </c>
      <c r="I17" s="405">
        <v>88</v>
      </c>
      <c r="J17"/>
    </row>
    <row r="18" spans="1:10" x14ac:dyDescent="0.3">
      <c r="A18" s="110"/>
      <c r="B18" s="132" t="s">
        <v>876</v>
      </c>
      <c r="C18" s="132" t="s">
        <v>875</v>
      </c>
      <c r="D18" s="112">
        <v>0</v>
      </c>
      <c r="H18" s="286" t="s">
        <v>317</v>
      </c>
      <c r="I18" s="405">
        <v>119</v>
      </c>
      <c r="J18"/>
    </row>
    <row r="19" spans="1:10" x14ac:dyDescent="0.3">
      <c r="A19" s="109" t="s">
        <v>480</v>
      </c>
      <c r="B19" s="109" t="s">
        <v>866</v>
      </c>
      <c r="C19" s="109" t="s">
        <v>824</v>
      </c>
      <c r="D19" s="177">
        <v>0</v>
      </c>
      <c r="H19" s="286" t="s">
        <v>340</v>
      </c>
      <c r="I19" s="405">
        <v>63</v>
      </c>
      <c r="J19"/>
    </row>
    <row r="20" spans="1:10" x14ac:dyDescent="0.3">
      <c r="A20" s="109"/>
      <c r="B20" s="109"/>
      <c r="C20" s="110" t="s">
        <v>787</v>
      </c>
      <c r="D20" s="177">
        <v>0</v>
      </c>
      <c r="H20" s="286" t="s">
        <v>337</v>
      </c>
      <c r="I20" s="405">
        <v>29</v>
      </c>
      <c r="J20"/>
    </row>
    <row r="21" spans="1:10" x14ac:dyDescent="0.3">
      <c r="A21" s="109"/>
      <c r="B21" s="109" t="s">
        <v>99</v>
      </c>
      <c r="C21" s="110" t="s">
        <v>100</v>
      </c>
      <c r="D21" s="177">
        <v>2</v>
      </c>
      <c r="H21" s="286" t="s">
        <v>349</v>
      </c>
      <c r="I21" s="405">
        <v>92</v>
      </c>
      <c r="J21"/>
    </row>
    <row r="22" spans="1:10" x14ac:dyDescent="0.3">
      <c r="A22" s="109"/>
      <c r="B22" s="109" t="s">
        <v>107</v>
      </c>
      <c r="C22" s="110" t="s">
        <v>108</v>
      </c>
      <c r="D22" s="177">
        <v>1.1000000000000001</v>
      </c>
      <c r="H22" s="286" t="s">
        <v>345</v>
      </c>
      <c r="I22" s="405">
        <v>181</v>
      </c>
      <c r="J22"/>
    </row>
    <row r="23" spans="1:10" x14ac:dyDescent="0.3">
      <c r="A23" s="109"/>
      <c r="B23" s="109" t="s">
        <v>139</v>
      </c>
      <c r="C23" s="110" t="s">
        <v>140</v>
      </c>
      <c r="D23" s="177">
        <v>0.90909090909090906</v>
      </c>
      <c r="H23" s="286" t="s">
        <v>347</v>
      </c>
      <c r="I23" s="405">
        <v>46</v>
      </c>
      <c r="J23"/>
    </row>
    <row r="24" spans="1:10" x14ac:dyDescent="0.3">
      <c r="A24" s="109"/>
      <c r="B24" s="109" t="s">
        <v>71</v>
      </c>
      <c r="C24" s="110" t="s">
        <v>72</v>
      </c>
      <c r="D24" s="177">
        <v>1</v>
      </c>
      <c r="H24" s="286" t="s">
        <v>315</v>
      </c>
      <c r="I24" s="405">
        <v>69</v>
      </c>
      <c r="J24"/>
    </row>
    <row r="25" spans="1:10" x14ac:dyDescent="0.3">
      <c r="A25" s="109"/>
      <c r="B25" s="109" t="s">
        <v>51</v>
      </c>
      <c r="C25" s="110" t="s">
        <v>52</v>
      </c>
      <c r="D25" s="177">
        <v>0.52631578947368418</v>
      </c>
      <c r="H25" s="333" t="s">
        <v>351</v>
      </c>
      <c r="I25" s="405">
        <v>1433</v>
      </c>
      <c r="J25"/>
    </row>
    <row r="26" spans="1:10" x14ac:dyDescent="0.3">
      <c r="A26" s="109"/>
      <c r="B26" s="109" t="s">
        <v>75</v>
      </c>
      <c r="C26" s="110" t="s">
        <v>76</v>
      </c>
      <c r="D26" s="177">
        <v>1.0714285714285714</v>
      </c>
      <c r="H26" s="286" t="s">
        <v>1030</v>
      </c>
      <c r="I26" s="405">
        <v>163</v>
      </c>
      <c r="J26"/>
    </row>
    <row r="27" spans="1:10" x14ac:dyDescent="0.3">
      <c r="A27" s="109"/>
      <c r="B27" s="109" t="s">
        <v>40</v>
      </c>
      <c r="C27" s="110" t="s">
        <v>41</v>
      </c>
      <c r="D27" s="177">
        <v>0.90909090909090906</v>
      </c>
      <c r="H27" s="286" t="s">
        <v>1258</v>
      </c>
      <c r="I27" s="405">
        <v>62</v>
      </c>
      <c r="J27"/>
    </row>
    <row r="28" spans="1:10" x14ac:dyDescent="0.3">
      <c r="A28" s="109"/>
      <c r="B28" s="109" t="s">
        <v>89</v>
      </c>
      <c r="C28" s="110" t="s">
        <v>90</v>
      </c>
      <c r="D28" s="177">
        <v>1.25</v>
      </c>
      <c r="H28" s="286" t="s">
        <v>1269</v>
      </c>
      <c r="I28" s="405">
        <v>413</v>
      </c>
      <c r="J28"/>
    </row>
    <row r="29" spans="1:10" x14ac:dyDescent="0.3">
      <c r="A29" s="109"/>
      <c r="B29" s="109" t="s">
        <v>117</v>
      </c>
      <c r="C29" s="110" t="s">
        <v>118</v>
      </c>
      <c r="D29" s="177">
        <v>1</v>
      </c>
      <c r="H29" s="286" t="s">
        <v>1263</v>
      </c>
      <c r="I29" s="405">
        <v>80</v>
      </c>
      <c r="J29"/>
    </row>
    <row r="30" spans="1:10" x14ac:dyDescent="0.3">
      <c r="A30" s="109"/>
      <c r="B30" s="109" t="s">
        <v>123</v>
      </c>
      <c r="C30" s="110" t="s">
        <v>124</v>
      </c>
      <c r="D30" s="177">
        <v>0.625</v>
      </c>
      <c r="H30" s="169" t="s">
        <v>185</v>
      </c>
      <c r="I30" s="405">
        <v>4745</v>
      </c>
      <c r="J30"/>
    </row>
    <row r="31" spans="1:10" x14ac:dyDescent="0.3">
      <c r="A31" s="109"/>
      <c r="B31" s="109" t="s">
        <v>125</v>
      </c>
      <c r="C31" s="110" t="s">
        <v>126</v>
      </c>
      <c r="D31" s="177">
        <v>0.45454545454545453</v>
      </c>
      <c r="H31" s="286" t="s">
        <v>192</v>
      </c>
      <c r="I31" s="405">
        <v>93</v>
      </c>
      <c r="J31"/>
    </row>
    <row r="32" spans="1:10" x14ac:dyDescent="0.3">
      <c r="A32" s="109"/>
      <c r="B32" s="109" t="s">
        <v>45</v>
      </c>
      <c r="C32" s="110" t="s">
        <v>44</v>
      </c>
      <c r="D32" s="177">
        <v>2</v>
      </c>
      <c r="H32" s="286" t="s">
        <v>12</v>
      </c>
      <c r="I32" s="405">
        <v>223</v>
      </c>
      <c r="J32"/>
    </row>
    <row r="33" spans="1:10" x14ac:dyDescent="0.3">
      <c r="A33" s="109"/>
      <c r="B33" s="109" t="s">
        <v>46</v>
      </c>
      <c r="C33" s="110" t="s">
        <v>551</v>
      </c>
      <c r="D33" s="177">
        <v>1.25</v>
      </c>
      <c r="H33" s="286" t="s">
        <v>194</v>
      </c>
      <c r="I33" s="405">
        <v>716</v>
      </c>
      <c r="J33"/>
    </row>
    <row r="34" spans="1:10" x14ac:dyDescent="0.3">
      <c r="A34" s="109"/>
      <c r="B34" s="109" t="s">
        <v>42</v>
      </c>
      <c r="C34" s="110" t="s">
        <v>43</v>
      </c>
      <c r="D34" s="177">
        <v>0.7142857142857143</v>
      </c>
      <c r="H34" s="333" t="s">
        <v>196</v>
      </c>
      <c r="I34" s="405">
        <v>1497</v>
      </c>
      <c r="J34"/>
    </row>
    <row r="35" spans="1:10" x14ac:dyDescent="0.3">
      <c r="A35" s="109"/>
      <c r="B35" s="110" t="s">
        <v>91</v>
      </c>
      <c r="C35" s="110" t="s">
        <v>92</v>
      </c>
      <c r="D35" s="178">
        <v>1</v>
      </c>
      <c r="H35" s="286" t="s">
        <v>474</v>
      </c>
      <c r="I35" s="405">
        <v>3</v>
      </c>
      <c r="J35"/>
    </row>
    <row r="36" spans="1:10" x14ac:dyDescent="0.3">
      <c r="A36" s="109"/>
      <c r="B36" s="132" t="s">
        <v>119</v>
      </c>
      <c r="C36" s="132" t="s">
        <v>120</v>
      </c>
      <c r="D36" s="112">
        <v>0.16666666666666666</v>
      </c>
      <c r="H36" s="286" t="s">
        <v>186</v>
      </c>
      <c r="I36" s="405">
        <v>40</v>
      </c>
      <c r="J36"/>
    </row>
    <row r="37" spans="1:10" x14ac:dyDescent="0.3">
      <c r="A37" s="109"/>
      <c r="B37" s="132" t="s">
        <v>1164</v>
      </c>
      <c r="C37" s="132" t="s">
        <v>1158</v>
      </c>
      <c r="D37" s="112">
        <v>0</v>
      </c>
      <c r="H37" s="286" t="s">
        <v>223</v>
      </c>
      <c r="I37" s="405">
        <v>129</v>
      </c>
      <c r="J37"/>
    </row>
    <row r="38" spans="1:10" x14ac:dyDescent="0.3">
      <c r="A38" s="110"/>
      <c r="B38" s="132" t="s">
        <v>1162</v>
      </c>
      <c r="C38" s="132" t="s">
        <v>1159</v>
      </c>
      <c r="D38" s="112">
        <v>0.53333333333333333</v>
      </c>
      <c r="H38" s="286" t="s">
        <v>190</v>
      </c>
      <c r="I38" s="405">
        <v>203</v>
      </c>
      <c r="J38"/>
    </row>
    <row r="39" spans="1:10" x14ac:dyDescent="0.3">
      <c r="A39" s="109" t="s">
        <v>146</v>
      </c>
      <c r="B39" s="109" t="s">
        <v>148</v>
      </c>
      <c r="C39" s="110" t="s">
        <v>149</v>
      </c>
      <c r="D39" s="177">
        <v>0.41269841269841268</v>
      </c>
      <c r="H39" s="333" t="s">
        <v>202</v>
      </c>
      <c r="I39" s="405">
        <v>281</v>
      </c>
      <c r="J39"/>
    </row>
    <row r="40" spans="1:10" x14ac:dyDescent="0.3">
      <c r="A40" s="109"/>
      <c r="B40" s="109" t="s">
        <v>381</v>
      </c>
      <c r="C40" s="110" t="s">
        <v>367</v>
      </c>
      <c r="D40" s="177">
        <v>1</v>
      </c>
      <c r="H40" s="333" t="s">
        <v>209</v>
      </c>
      <c r="I40" s="405">
        <v>415</v>
      </c>
      <c r="J40"/>
    </row>
    <row r="41" spans="1:10" x14ac:dyDescent="0.3">
      <c r="A41" s="109"/>
      <c r="B41" s="109" t="s">
        <v>382</v>
      </c>
      <c r="C41" s="110" t="s">
        <v>368</v>
      </c>
      <c r="D41" s="177">
        <v>1</v>
      </c>
      <c r="H41" s="286" t="s">
        <v>213</v>
      </c>
      <c r="I41" s="405">
        <v>47</v>
      </c>
      <c r="J41"/>
    </row>
    <row r="42" spans="1:10" x14ac:dyDescent="0.3">
      <c r="A42" s="109"/>
      <c r="B42" s="109" t="s">
        <v>383</v>
      </c>
      <c r="C42" s="110" t="s">
        <v>366</v>
      </c>
      <c r="D42" s="177">
        <v>0.92647058823529416</v>
      </c>
      <c r="H42" s="286" t="s">
        <v>215</v>
      </c>
      <c r="I42" s="405">
        <v>356</v>
      </c>
      <c r="J42"/>
    </row>
    <row r="43" spans="1:10" x14ac:dyDescent="0.3">
      <c r="A43" s="109"/>
      <c r="B43" s="109" t="s">
        <v>385</v>
      </c>
      <c r="C43" s="110" t="s">
        <v>371</v>
      </c>
      <c r="D43" s="177">
        <v>0.543010752688172</v>
      </c>
      <c r="H43" s="286" t="s">
        <v>229</v>
      </c>
      <c r="I43" s="405">
        <v>48</v>
      </c>
      <c r="J43"/>
    </row>
    <row r="44" spans="1:10" x14ac:dyDescent="0.3">
      <c r="A44" s="109"/>
      <c r="B44" s="110" t="s">
        <v>147</v>
      </c>
      <c r="C44" s="110" t="s">
        <v>369</v>
      </c>
      <c r="D44" s="178">
        <v>0.10869565217391304</v>
      </c>
      <c r="H44" s="333" t="s">
        <v>219</v>
      </c>
      <c r="I44" s="405">
        <v>651</v>
      </c>
      <c r="J44"/>
    </row>
    <row r="45" spans="1:10" x14ac:dyDescent="0.3">
      <c r="A45" s="110"/>
      <c r="B45" s="132" t="s">
        <v>942</v>
      </c>
      <c r="C45" s="132" t="s">
        <v>943</v>
      </c>
      <c r="D45" s="112">
        <v>0</v>
      </c>
      <c r="H45" s="286" t="s">
        <v>225</v>
      </c>
      <c r="I45" s="405">
        <v>43</v>
      </c>
      <c r="J45"/>
    </row>
    <row r="46" spans="1:10" x14ac:dyDescent="0.3">
      <c r="A46" s="109" t="s">
        <v>151</v>
      </c>
      <c r="B46" s="109" t="s">
        <v>150</v>
      </c>
      <c r="C46" s="110" t="s">
        <v>152</v>
      </c>
      <c r="D46" s="177">
        <v>0.54123711340206193</v>
      </c>
      <c r="H46" s="169" t="s">
        <v>151</v>
      </c>
      <c r="I46" s="405">
        <v>2833</v>
      </c>
      <c r="J46"/>
    </row>
    <row r="47" spans="1:10" x14ac:dyDescent="0.3">
      <c r="A47" s="109"/>
      <c r="B47" s="109" t="s">
        <v>197</v>
      </c>
      <c r="C47" s="110" t="s">
        <v>198</v>
      </c>
      <c r="D47" s="177">
        <v>0.97623400365630708</v>
      </c>
      <c r="H47" s="286" t="s">
        <v>188</v>
      </c>
      <c r="I47" s="405">
        <v>365</v>
      </c>
      <c r="J47"/>
    </row>
    <row r="48" spans="1:10" x14ac:dyDescent="0.3">
      <c r="A48" s="109"/>
      <c r="B48" s="109" t="s">
        <v>153</v>
      </c>
      <c r="C48" s="110" t="s">
        <v>154</v>
      </c>
      <c r="D48" s="177">
        <v>0.44543429844097998</v>
      </c>
      <c r="H48" s="286" t="s">
        <v>12</v>
      </c>
      <c r="I48" s="405">
        <v>80</v>
      </c>
      <c r="J48"/>
    </row>
    <row r="49" spans="1:10" x14ac:dyDescent="0.3">
      <c r="A49" s="109"/>
      <c r="B49" s="109" t="s">
        <v>159</v>
      </c>
      <c r="C49" s="110" t="s">
        <v>160</v>
      </c>
      <c r="D49" s="177">
        <v>0.75510204081632648</v>
      </c>
      <c r="H49" s="333" t="s">
        <v>198</v>
      </c>
      <c r="I49" s="405">
        <v>544</v>
      </c>
      <c r="J49"/>
    </row>
    <row r="50" spans="1:10" x14ac:dyDescent="0.3">
      <c r="A50" s="109"/>
      <c r="B50" s="109" t="s">
        <v>812</v>
      </c>
      <c r="C50" s="110" t="s">
        <v>811</v>
      </c>
      <c r="D50" s="177">
        <v>0.76674937965260548</v>
      </c>
      <c r="H50" s="286" t="s">
        <v>811</v>
      </c>
      <c r="I50" s="405">
        <v>432</v>
      </c>
      <c r="J50"/>
    </row>
    <row r="51" spans="1:10" x14ac:dyDescent="0.3">
      <c r="A51" s="109"/>
      <c r="B51" s="109" t="s">
        <v>187</v>
      </c>
      <c r="C51" s="110" t="s">
        <v>188</v>
      </c>
      <c r="D51" s="177">
        <v>0.49222797927461137</v>
      </c>
      <c r="H51" s="286" t="s">
        <v>847</v>
      </c>
      <c r="I51" s="405">
        <v>169</v>
      </c>
      <c r="J51"/>
    </row>
    <row r="52" spans="1:10" x14ac:dyDescent="0.3">
      <c r="A52" s="109"/>
      <c r="B52" s="110" t="s">
        <v>846</v>
      </c>
      <c r="C52" s="110" t="s">
        <v>847</v>
      </c>
      <c r="D52" s="178">
        <v>0.28735632183908044</v>
      </c>
      <c r="H52" s="286" t="s">
        <v>160</v>
      </c>
      <c r="I52" s="405">
        <v>127</v>
      </c>
      <c r="J52"/>
    </row>
    <row r="53" spans="1:10" x14ac:dyDescent="0.3">
      <c r="A53" s="110"/>
      <c r="B53" s="132" t="s">
        <v>939</v>
      </c>
      <c r="C53" s="132" t="s">
        <v>938</v>
      </c>
      <c r="D53" s="112">
        <v>0</v>
      </c>
      <c r="H53" s="333" t="s">
        <v>938</v>
      </c>
      <c r="I53" s="405">
        <v>154</v>
      </c>
      <c r="J53"/>
    </row>
    <row r="54" spans="1:10" x14ac:dyDescent="0.3">
      <c r="A54" s="109" t="s">
        <v>166</v>
      </c>
      <c r="B54" s="109" t="s">
        <v>165</v>
      </c>
      <c r="C54" s="110" t="s">
        <v>167</v>
      </c>
      <c r="D54" s="177">
        <v>1.1428571428571428</v>
      </c>
      <c r="H54" s="333" t="s">
        <v>154</v>
      </c>
      <c r="I54" s="405">
        <v>446</v>
      </c>
      <c r="J54"/>
    </row>
    <row r="55" spans="1:10" x14ac:dyDescent="0.3">
      <c r="A55" s="110"/>
      <c r="B55" s="110" t="s">
        <v>761</v>
      </c>
      <c r="C55" s="110" t="s">
        <v>760</v>
      </c>
      <c r="D55" s="178">
        <v>1</v>
      </c>
      <c r="H55" s="333" t="s">
        <v>911</v>
      </c>
      <c r="I55" s="405">
        <v>156</v>
      </c>
      <c r="J55"/>
    </row>
    <row r="56" spans="1:10" x14ac:dyDescent="0.3">
      <c r="A56" s="109" t="s">
        <v>173</v>
      </c>
      <c r="B56" s="109" t="s">
        <v>175</v>
      </c>
      <c r="C56" s="110" t="s">
        <v>176</v>
      </c>
      <c r="D56" s="177">
        <v>0.66666666666666663</v>
      </c>
      <c r="H56" s="286" t="s">
        <v>156</v>
      </c>
      <c r="I56" s="405">
        <v>175</v>
      </c>
      <c r="J56"/>
    </row>
    <row r="57" spans="1:10" x14ac:dyDescent="0.3">
      <c r="A57" s="109"/>
      <c r="B57" s="109" t="s">
        <v>172</v>
      </c>
      <c r="C57" s="110" t="s">
        <v>174</v>
      </c>
      <c r="D57" s="177">
        <v>1</v>
      </c>
      <c r="H57" s="286" t="s">
        <v>152</v>
      </c>
      <c r="I57" s="405">
        <v>185</v>
      </c>
      <c r="J57"/>
    </row>
    <row r="58" spans="1:10" x14ac:dyDescent="0.3">
      <c r="A58" s="109"/>
      <c r="B58" s="110" t="s">
        <v>177</v>
      </c>
      <c r="C58" s="110" t="s">
        <v>178</v>
      </c>
      <c r="D58" s="178">
        <v>1</v>
      </c>
      <c r="H58" s="169" t="s">
        <v>237</v>
      </c>
      <c r="I58" s="405">
        <v>2255</v>
      </c>
      <c r="J58"/>
    </row>
    <row r="59" spans="1:10" x14ac:dyDescent="0.3">
      <c r="A59" s="110"/>
      <c r="B59" s="132" t="s">
        <v>1056</v>
      </c>
      <c r="C59" s="132" t="s">
        <v>1062</v>
      </c>
      <c r="D59" s="112">
        <v>1</v>
      </c>
      <c r="H59" s="286" t="s">
        <v>252</v>
      </c>
      <c r="I59" s="405">
        <v>199</v>
      </c>
      <c r="J59"/>
    </row>
    <row r="60" spans="1:10" x14ac:dyDescent="0.3">
      <c r="A60" s="109" t="s">
        <v>180</v>
      </c>
      <c r="B60" s="109" t="s">
        <v>179</v>
      </c>
      <c r="C60" s="110" t="s">
        <v>181</v>
      </c>
      <c r="D60" s="177">
        <v>1</v>
      </c>
      <c r="H60" s="286" t="s">
        <v>254</v>
      </c>
      <c r="I60" s="405">
        <v>115</v>
      </c>
      <c r="J60"/>
    </row>
    <row r="61" spans="1:10" x14ac:dyDescent="0.3">
      <c r="A61" s="110"/>
      <c r="B61" s="110" t="s">
        <v>285</v>
      </c>
      <c r="C61" s="110" t="s">
        <v>286</v>
      </c>
      <c r="D61" s="178">
        <v>1.5263157894736841</v>
      </c>
      <c r="H61" s="286" t="s">
        <v>256</v>
      </c>
      <c r="I61" s="405">
        <v>44</v>
      </c>
      <c r="J61"/>
    </row>
    <row r="62" spans="1:10" x14ac:dyDescent="0.3">
      <c r="A62" s="109" t="s">
        <v>185</v>
      </c>
      <c r="B62" s="109" t="s">
        <v>208</v>
      </c>
      <c r="C62" s="110" t="s">
        <v>209</v>
      </c>
      <c r="D62" s="177">
        <v>0.71317829457364335</v>
      </c>
      <c r="H62" s="286" t="s">
        <v>303</v>
      </c>
      <c r="I62" s="405">
        <v>375</v>
      </c>
      <c r="J62"/>
    </row>
    <row r="63" spans="1:10" x14ac:dyDescent="0.3">
      <c r="A63" s="109"/>
      <c r="B63" s="109" t="s">
        <v>201</v>
      </c>
      <c r="C63" s="110" t="s">
        <v>202</v>
      </c>
      <c r="D63" s="177">
        <v>0.57735849056603772</v>
      </c>
      <c r="H63" s="286" t="s">
        <v>240</v>
      </c>
      <c r="I63" s="405">
        <v>102</v>
      </c>
      <c r="J63"/>
    </row>
    <row r="64" spans="1:10" x14ac:dyDescent="0.3">
      <c r="A64" s="109"/>
      <c r="B64" s="109" t="s">
        <v>222</v>
      </c>
      <c r="C64" s="110" t="s">
        <v>223</v>
      </c>
      <c r="D64" s="177">
        <v>0.65048543689320382</v>
      </c>
      <c r="H64" s="286" t="s">
        <v>284</v>
      </c>
      <c r="I64" s="405">
        <v>138</v>
      </c>
      <c r="J64"/>
    </row>
    <row r="65" spans="1:10" x14ac:dyDescent="0.3">
      <c r="A65" s="109"/>
      <c r="B65" s="109" t="s">
        <v>189</v>
      </c>
      <c r="C65" s="110" t="s">
        <v>190</v>
      </c>
      <c r="D65" s="177">
        <v>0.42268041237113402</v>
      </c>
      <c r="H65" s="286" t="s">
        <v>258</v>
      </c>
      <c r="I65" s="405">
        <v>61</v>
      </c>
      <c r="J65"/>
    </row>
    <row r="66" spans="1:10" x14ac:dyDescent="0.3">
      <c r="A66" s="109"/>
      <c r="B66" s="109" t="s">
        <v>184</v>
      </c>
      <c r="C66" s="110" t="s">
        <v>186</v>
      </c>
      <c r="D66" s="177">
        <v>1</v>
      </c>
      <c r="H66" s="286" t="s">
        <v>260</v>
      </c>
      <c r="I66" s="405">
        <v>103</v>
      </c>
      <c r="J66"/>
    </row>
    <row r="67" spans="1:10" x14ac:dyDescent="0.3">
      <c r="A67" s="109"/>
      <c r="B67" s="109" t="s">
        <v>228</v>
      </c>
      <c r="C67" s="110" t="s">
        <v>229</v>
      </c>
      <c r="D67" s="177">
        <v>0.91836734693877553</v>
      </c>
      <c r="H67" s="286" t="s">
        <v>262</v>
      </c>
      <c r="I67" s="405">
        <v>24</v>
      </c>
      <c r="J67"/>
    </row>
    <row r="68" spans="1:10" x14ac:dyDescent="0.3">
      <c r="A68" s="109"/>
      <c r="B68" s="109" t="s">
        <v>224</v>
      </c>
      <c r="C68" s="110" t="s">
        <v>225</v>
      </c>
      <c r="D68" s="177">
        <v>0.97560975609756095</v>
      </c>
      <c r="H68" s="286" t="s">
        <v>264</v>
      </c>
      <c r="I68" s="405">
        <v>14</v>
      </c>
      <c r="J68"/>
    </row>
    <row r="69" spans="1:10" x14ac:dyDescent="0.3">
      <c r="A69" s="109"/>
      <c r="B69" s="109" t="s">
        <v>195</v>
      </c>
      <c r="C69" s="110" t="s">
        <v>196</v>
      </c>
      <c r="D69" s="177">
        <v>0.77296248382923671</v>
      </c>
      <c r="H69" s="286" t="s">
        <v>270</v>
      </c>
      <c r="I69" s="405">
        <v>58</v>
      </c>
      <c r="J69"/>
    </row>
    <row r="70" spans="1:10" x14ac:dyDescent="0.3">
      <c r="A70" s="109"/>
      <c r="B70" s="109" t="s">
        <v>193</v>
      </c>
      <c r="C70" s="110" t="s">
        <v>194</v>
      </c>
      <c r="D70" s="177">
        <v>0.8607242339832869</v>
      </c>
      <c r="H70" s="286" t="s">
        <v>268</v>
      </c>
      <c r="I70" s="405">
        <v>67</v>
      </c>
      <c r="J70"/>
    </row>
    <row r="71" spans="1:10" x14ac:dyDescent="0.3">
      <c r="A71" s="109"/>
      <c r="B71" s="109" t="s">
        <v>191</v>
      </c>
      <c r="C71" s="110" t="s">
        <v>192</v>
      </c>
      <c r="D71" s="177">
        <v>1.796116504854369</v>
      </c>
      <c r="H71" s="286" t="s">
        <v>272</v>
      </c>
      <c r="I71" s="405">
        <v>75</v>
      </c>
      <c r="J71"/>
    </row>
    <row r="72" spans="1:10" x14ac:dyDescent="0.3">
      <c r="A72" s="109"/>
      <c r="B72" s="109" t="s">
        <v>218</v>
      </c>
      <c r="C72" s="110" t="s">
        <v>219</v>
      </c>
      <c r="D72" s="177">
        <v>1.2010050251256281</v>
      </c>
      <c r="H72" s="286" t="s">
        <v>276</v>
      </c>
      <c r="I72" s="405">
        <v>118</v>
      </c>
      <c r="J72"/>
    </row>
    <row r="73" spans="1:10" x14ac:dyDescent="0.3">
      <c r="A73" s="110"/>
      <c r="B73" s="110" t="s">
        <v>214</v>
      </c>
      <c r="C73" s="110" t="s">
        <v>215</v>
      </c>
      <c r="D73" s="178">
        <v>1.7318435754189945</v>
      </c>
      <c r="H73" s="286" t="s">
        <v>278</v>
      </c>
      <c r="I73" s="405">
        <v>23</v>
      </c>
      <c r="J73"/>
    </row>
    <row r="74" spans="1:10" x14ac:dyDescent="0.3">
      <c r="A74" s="109" t="s">
        <v>230</v>
      </c>
      <c r="B74" s="109" t="s">
        <v>904</v>
      </c>
      <c r="C74" s="110" t="s">
        <v>903</v>
      </c>
      <c r="D74" s="177">
        <v>1</v>
      </c>
      <c r="H74" s="286" t="s">
        <v>280</v>
      </c>
      <c r="I74" s="405">
        <v>91</v>
      </c>
      <c r="J74"/>
    </row>
    <row r="75" spans="1:10" x14ac:dyDescent="0.3">
      <c r="A75" s="109"/>
      <c r="B75" s="110" t="s">
        <v>914</v>
      </c>
      <c r="C75" s="110" t="s">
        <v>913</v>
      </c>
      <c r="D75" s="178">
        <v>1.2000000000000002</v>
      </c>
      <c r="H75" s="286" t="s">
        <v>238</v>
      </c>
      <c r="I75" s="405">
        <v>73</v>
      </c>
      <c r="J75"/>
    </row>
    <row r="76" spans="1:10" x14ac:dyDescent="0.3">
      <c r="A76" s="110"/>
      <c r="B76" s="132" t="s">
        <v>771</v>
      </c>
      <c r="C76" s="132" t="s">
        <v>359</v>
      </c>
      <c r="D76" s="112">
        <v>1</v>
      </c>
      <c r="H76" s="286" t="s">
        <v>248</v>
      </c>
      <c r="I76" s="405">
        <v>7</v>
      </c>
      <c r="J76"/>
    </row>
    <row r="77" spans="1:10" x14ac:dyDescent="0.3">
      <c r="A77" s="109" t="s">
        <v>237</v>
      </c>
      <c r="B77" s="109" t="s">
        <v>866</v>
      </c>
      <c r="C77" s="109" t="s">
        <v>823</v>
      </c>
      <c r="D77" s="177">
        <v>0</v>
      </c>
      <c r="H77" s="286" t="s">
        <v>250</v>
      </c>
      <c r="I77" s="405">
        <v>32</v>
      </c>
      <c r="J77"/>
    </row>
    <row r="78" spans="1:10" x14ac:dyDescent="0.3">
      <c r="A78" s="109"/>
      <c r="B78" s="109"/>
      <c r="C78" s="110" t="s">
        <v>787</v>
      </c>
      <c r="D78" s="177">
        <v>0</v>
      </c>
      <c r="H78" s="286" t="s">
        <v>274</v>
      </c>
      <c r="I78" s="405">
        <v>46</v>
      </c>
      <c r="J78"/>
    </row>
    <row r="79" spans="1:10" x14ac:dyDescent="0.3">
      <c r="A79" s="109"/>
      <c r="B79" s="109" t="s">
        <v>236</v>
      </c>
      <c r="C79" s="110" t="s">
        <v>238</v>
      </c>
      <c r="D79" s="177">
        <v>0.90909090909090906</v>
      </c>
      <c r="H79" s="286" t="s">
        <v>1031</v>
      </c>
      <c r="I79" s="405">
        <v>57</v>
      </c>
      <c r="J79"/>
    </row>
    <row r="80" spans="1:10" x14ac:dyDescent="0.3">
      <c r="A80" s="109"/>
      <c r="B80" s="109" t="s">
        <v>267</v>
      </c>
      <c r="C80" s="110" t="s">
        <v>268</v>
      </c>
      <c r="D80" s="177">
        <v>1.1846153846153846</v>
      </c>
      <c r="H80" s="286" t="s">
        <v>1525</v>
      </c>
      <c r="I80" s="405">
        <v>42</v>
      </c>
      <c r="J80"/>
    </row>
    <row r="81" spans="1:10" x14ac:dyDescent="0.3">
      <c r="A81" s="109"/>
      <c r="B81" s="109" t="s">
        <v>249</v>
      </c>
      <c r="C81" s="110" t="s">
        <v>250</v>
      </c>
      <c r="D81" s="177">
        <v>0.64516129032258063</v>
      </c>
      <c r="H81" s="286" t="s">
        <v>1529</v>
      </c>
      <c r="I81" s="405">
        <v>19</v>
      </c>
      <c r="J81"/>
    </row>
    <row r="82" spans="1:10" x14ac:dyDescent="0.3">
      <c r="A82" s="109"/>
      <c r="B82" s="109" t="s">
        <v>247</v>
      </c>
      <c r="C82" s="110" t="s">
        <v>248</v>
      </c>
      <c r="D82" s="177">
        <v>2</v>
      </c>
      <c r="H82" s="286" t="s">
        <v>1857</v>
      </c>
      <c r="I82" s="405">
        <v>157</v>
      </c>
      <c r="J82"/>
    </row>
    <row r="83" spans="1:10" x14ac:dyDescent="0.3">
      <c r="A83" s="109"/>
      <c r="B83" s="109" t="s">
        <v>273</v>
      </c>
      <c r="C83" s="110" t="s">
        <v>274</v>
      </c>
      <c r="D83" s="177">
        <v>0.69565217391304346</v>
      </c>
      <c r="H83" s="286" t="s">
        <v>1862</v>
      </c>
      <c r="I83" s="405">
        <v>215</v>
      </c>
      <c r="J83"/>
    </row>
    <row r="84" spans="1:10" x14ac:dyDescent="0.3">
      <c r="A84" s="109"/>
      <c r="B84" s="109" t="s">
        <v>275</v>
      </c>
      <c r="C84" s="110" t="s">
        <v>276</v>
      </c>
      <c r="D84" s="177">
        <v>0.5423728813559322</v>
      </c>
      <c r="H84" s="169" t="s">
        <v>5</v>
      </c>
      <c r="I84" s="405">
        <v>1480</v>
      </c>
      <c r="J84"/>
    </row>
    <row r="85" spans="1:10" x14ac:dyDescent="0.3">
      <c r="A85" s="109"/>
      <c r="B85" s="109" t="s">
        <v>259</v>
      </c>
      <c r="C85" s="110" t="s">
        <v>260</v>
      </c>
      <c r="D85" s="177">
        <v>0.76923076923076916</v>
      </c>
      <c r="H85" s="333" t="s">
        <v>6</v>
      </c>
      <c r="I85" s="405">
        <v>257</v>
      </c>
      <c r="J85"/>
    </row>
    <row r="86" spans="1:10" x14ac:dyDescent="0.3">
      <c r="A86" s="109"/>
      <c r="B86" s="109" t="s">
        <v>279</v>
      </c>
      <c r="C86" s="110" t="s">
        <v>280</v>
      </c>
      <c r="D86" s="177">
        <v>0.54347826086956519</v>
      </c>
      <c r="H86" s="286" t="s">
        <v>465</v>
      </c>
      <c r="I86" s="405">
        <v>12</v>
      </c>
      <c r="J86"/>
    </row>
    <row r="87" spans="1:10" x14ac:dyDescent="0.3">
      <c r="A87" s="109"/>
      <c r="B87" s="109" t="s">
        <v>245</v>
      </c>
      <c r="C87" s="110" t="s">
        <v>246</v>
      </c>
      <c r="D87" s="177">
        <v>9.6774193548387094E-2</v>
      </c>
      <c r="H87" s="286" t="s">
        <v>12</v>
      </c>
      <c r="I87" s="405">
        <v>190</v>
      </c>
      <c r="J87"/>
    </row>
    <row r="88" spans="1:10" x14ac:dyDescent="0.3">
      <c r="A88" s="109"/>
      <c r="B88" s="109" t="s">
        <v>242</v>
      </c>
      <c r="C88" s="110" t="s">
        <v>243</v>
      </c>
      <c r="D88" s="177">
        <v>0.5</v>
      </c>
      <c r="H88" s="286" t="s">
        <v>14</v>
      </c>
      <c r="I88" s="405">
        <v>41</v>
      </c>
      <c r="J88"/>
    </row>
    <row r="89" spans="1:10" x14ac:dyDescent="0.3">
      <c r="A89" s="109"/>
      <c r="B89" s="109" t="s">
        <v>255</v>
      </c>
      <c r="C89" s="110" t="s">
        <v>256</v>
      </c>
      <c r="D89" s="177">
        <v>0.11904761904761904</v>
      </c>
      <c r="H89" s="286" t="s">
        <v>18</v>
      </c>
      <c r="I89" s="405">
        <v>129</v>
      </c>
      <c r="J89"/>
    </row>
    <row r="90" spans="1:10" x14ac:dyDescent="0.3">
      <c r="A90" s="109"/>
      <c r="B90" s="109" t="s">
        <v>283</v>
      </c>
      <c r="C90" s="110" t="s">
        <v>284</v>
      </c>
      <c r="D90" s="177">
        <v>0.89928057553956831</v>
      </c>
      <c r="H90" s="286" t="s">
        <v>8</v>
      </c>
      <c r="I90" s="405">
        <v>14</v>
      </c>
      <c r="J90"/>
    </row>
    <row r="91" spans="1:10" x14ac:dyDescent="0.3">
      <c r="A91" s="109"/>
      <c r="B91" s="109" t="s">
        <v>239</v>
      </c>
      <c r="C91" s="110" t="s">
        <v>240</v>
      </c>
      <c r="D91" s="177">
        <v>0.22857142857142856</v>
      </c>
      <c r="H91" s="286" t="s">
        <v>20</v>
      </c>
      <c r="I91" s="405">
        <v>15</v>
      </c>
      <c r="J91"/>
    </row>
    <row r="92" spans="1:10" x14ac:dyDescent="0.3">
      <c r="A92" s="109"/>
      <c r="B92" s="109" t="s">
        <v>257</v>
      </c>
      <c r="C92" s="110" t="s">
        <v>258</v>
      </c>
      <c r="D92" s="177">
        <v>0.32258064516129031</v>
      </c>
      <c r="H92" s="286" t="s">
        <v>364</v>
      </c>
      <c r="I92" s="405">
        <v>147</v>
      </c>
      <c r="J92"/>
    </row>
    <row r="93" spans="1:10" x14ac:dyDescent="0.3">
      <c r="A93" s="109"/>
      <c r="B93" s="109" t="s">
        <v>251</v>
      </c>
      <c r="C93" s="110" t="s">
        <v>252</v>
      </c>
      <c r="D93" s="177">
        <v>0.79999999999999993</v>
      </c>
      <c r="H93" s="333" t="s">
        <v>22</v>
      </c>
      <c r="I93" s="405">
        <v>641</v>
      </c>
      <c r="J93"/>
    </row>
    <row r="94" spans="1:10" x14ac:dyDescent="0.3">
      <c r="A94" s="109"/>
      <c r="B94" s="109" t="s">
        <v>253</v>
      </c>
      <c r="C94" s="110" t="s">
        <v>254</v>
      </c>
      <c r="D94" s="177">
        <v>0.65573770491803274</v>
      </c>
      <c r="H94" s="286" t="s">
        <v>24</v>
      </c>
      <c r="I94" s="405">
        <v>20</v>
      </c>
      <c r="J94"/>
    </row>
    <row r="95" spans="1:10" x14ac:dyDescent="0.3">
      <c r="A95" s="109"/>
      <c r="B95" s="109" t="s">
        <v>261</v>
      </c>
      <c r="C95" s="110" t="s">
        <v>262</v>
      </c>
      <c r="D95" s="177">
        <v>1.2173913043478262</v>
      </c>
      <c r="H95" s="286" t="s">
        <v>26</v>
      </c>
      <c r="I95" s="405">
        <v>14</v>
      </c>
      <c r="J95"/>
    </row>
    <row r="96" spans="1:10" x14ac:dyDescent="0.3">
      <c r="A96" s="109"/>
      <c r="B96" s="109" t="s">
        <v>263</v>
      </c>
      <c r="C96" s="110" t="s">
        <v>264</v>
      </c>
      <c r="D96" s="177">
        <v>1.2666666666666666</v>
      </c>
      <c r="H96" s="169" t="s">
        <v>146</v>
      </c>
      <c r="I96" s="405">
        <v>867</v>
      </c>
      <c r="J96"/>
    </row>
    <row r="97" spans="1:10" x14ac:dyDescent="0.3">
      <c r="A97" s="109"/>
      <c r="B97" s="109" t="s">
        <v>281</v>
      </c>
      <c r="C97" s="110" t="s">
        <v>282</v>
      </c>
      <c r="D97" s="177">
        <v>1</v>
      </c>
      <c r="H97" s="286" t="s">
        <v>367</v>
      </c>
      <c r="I97" s="405">
        <v>56</v>
      </c>
      <c r="J97"/>
    </row>
    <row r="98" spans="1:10" x14ac:dyDescent="0.3">
      <c r="A98" s="109"/>
      <c r="B98" s="109" t="s">
        <v>269</v>
      </c>
      <c r="C98" s="110" t="s">
        <v>270</v>
      </c>
      <c r="D98" s="177">
        <v>1.0634920634920635</v>
      </c>
      <c r="H98" s="286" t="s">
        <v>368</v>
      </c>
      <c r="I98" s="405">
        <v>29</v>
      </c>
      <c r="J98"/>
    </row>
    <row r="99" spans="1:10" x14ac:dyDescent="0.3">
      <c r="A99" s="109"/>
      <c r="B99" s="109" t="s">
        <v>271</v>
      </c>
      <c r="C99" s="110" t="s">
        <v>272</v>
      </c>
      <c r="D99" s="177">
        <v>0.97959183673469385</v>
      </c>
      <c r="H99" s="286" t="s">
        <v>369</v>
      </c>
      <c r="I99" s="405">
        <v>42</v>
      </c>
      <c r="J99"/>
    </row>
    <row r="100" spans="1:10" x14ac:dyDescent="0.3">
      <c r="A100" s="110"/>
      <c r="B100" s="110" t="s">
        <v>241</v>
      </c>
      <c r="C100" s="110" t="s">
        <v>1031</v>
      </c>
      <c r="D100" s="178">
        <v>2.3518518518518521</v>
      </c>
      <c r="H100" s="286" t="s">
        <v>943</v>
      </c>
      <c r="I100" s="405">
        <v>22</v>
      </c>
      <c r="J100"/>
    </row>
    <row r="101" spans="1:10" x14ac:dyDescent="0.3">
      <c r="A101" s="109" t="s">
        <v>288</v>
      </c>
      <c r="B101" s="109" t="s">
        <v>287</v>
      </c>
      <c r="C101" s="110" t="s">
        <v>289</v>
      </c>
      <c r="D101" s="177">
        <v>0.44776119402985076</v>
      </c>
      <c r="H101" s="286" t="s">
        <v>149</v>
      </c>
      <c r="I101" s="405">
        <v>58</v>
      </c>
      <c r="J101"/>
    </row>
    <row r="102" spans="1:10" x14ac:dyDescent="0.3">
      <c r="A102" s="109"/>
      <c r="B102" s="109" t="s">
        <v>290</v>
      </c>
      <c r="C102" s="110" t="s">
        <v>291</v>
      </c>
      <c r="D102" s="177">
        <v>1.2702702702702702</v>
      </c>
      <c r="H102" s="286" t="s">
        <v>371</v>
      </c>
      <c r="I102" s="405">
        <v>198</v>
      </c>
      <c r="J102"/>
    </row>
    <row r="103" spans="1:10" x14ac:dyDescent="0.3">
      <c r="A103" s="109"/>
      <c r="B103" s="109" t="s">
        <v>906</v>
      </c>
      <c r="C103" s="110" t="s">
        <v>905</v>
      </c>
      <c r="D103" s="177">
        <v>1.0277777777777777</v>
      </c>
      <c r="H103" s="286" t="s">
        <v>1082</v>
      </c>
      <c r="I103" s="405">
        <v>105</v>
      </c>
      <c r="J103"/>
    </row>
    <row r="104" spans="1:10" x14ac:dyDescent="0.3">
      <c r="A104" s="109"/>
      <c r="B104" s="110" t="s">
        <v>910</v>
      </c>
      <c r="C104" s="110" t="s">
        <v>917</v>
      </c>
      <c r="D104" s="178">
        <v>0.6</v>
      </c>
      <c r="H104" s="286" t="s">
        <v>1147</v>
      </c>
      <c r="I104" s="405">
        <v>30</v>
      </c>
      <c r="J104"/>
    </row>
    <row r="105" spans="1:10" x14ac:dyDescent="0.3">
      <c r="A105" s="110"/>
      <c r="B105" s="132" t="s">
        <v>294</v>
      </c>
      <c r="C105" s="132" t="s">
        <v>372</v>
      </c>
      <c r="D105" s="112">
        <v>0</v>
      </c>
      <c r="H105" s="286" t="s">
        <v>1233</v>
      </c>
      <c r="I105" s="405">
        <v>39</v>
      </c>
      <c r="J105"/>
    </row>
    <row r="106" spans="1:10" x14ac:dyDescent="0.3">
      <c r="A106" s="110" t="s">
        <v>297</v>
      </c>
      <c r="B106" s="110" t="s">
        <v>296</v>
      </c>
      <c r="C106" s="110" t="s">
        <v>759</v>
      </c>
      <c r="D106" s="178">
        <v>0.22727272727272727</v>
      </c>
      <c r="H106" s="286" t="s">
        <v>1242</v>
      </c>
      <c r="I106" s="405">
        <v>24</v>
      </c>
      <c r="J106"/>
    </row>
    <row r="107" spans="1:10" x14ac:dyDescent="0.3">
      <c r="A107" s="109" t="s">
        <v>301</v>
      </c>
      <c r="B107" s="109" t="s">
        <v>304</v>
      </c>
      <c r="C107" s="110" t="s">
        <v>305</v>
      </c>
      <c r="D107" s="177">
        <v>0.48837209302325579</v>
      </c>
      <c r="H107" s="286" t="s">
        <v>1546</v>
      </c>
      <c r="I107" s="405">
        <v>39</v>
      </c>
      <c r="J107"/>
    </row>
    <row r="108" spans="1:10" x14ac:dyDescent="0.3">
      <c r="A108" s="110"/>
      <c r="B108" s="110" t="s">
        <v>306</v>
      </c>
      <c r="C108" s="110" t="s">
        <v>307</v>
      </c>
      <c r="D108" s="178">
        <v>1.0697674418604652</v>
      </c>
      <c r="H108" s="286" t="s">
        <v>1596</v>
      </c>
      <c r="I108" s="405">
        <v>41</v>
      </c>
      <c r="J108"/>
    </row>
    <row r="109" spans="1:10" x14ac:dyDescent="0.3">
      <c r="A109" s="109" t="s">
        <v>309</v>
      </c>
      <c r="B109" s="109" t="s">
        <v>339</v>
      </c>
      <c r="C109" s="110" t="s">
        <v>340</v>
      </c>
      <c r="D109" s="177">
        <v>0.58461538461538465</v>
      </c>
      <c r="H109" s="286" t="s">
        <v>1650</v>
      </c>
      <c r="I109" s="405">
        <v>76</v>
      </c>
      <c r="J109"/>
    </row>
    <row r="110" spans="1:10" x14ac:dyDescent="0.3">
      <c r="A110" s="109"/>
      <c r="B110" s="109" t="s">
        <v>348</v>
      </c>
      <c r="C110" s="110" t="s">
        <v>349</v>
      </c>
      <c r="D110" s="177">
        <v>1</v>
      </c>
      <c r="H110" s="286" t="s">
        <v>1651</v>
      </c>
      <c r="I110" s="405">
        <v>108</v>
      </c>
      <c r="J110"/>
    </row>
    <row r="111" spans="1:10" x14ac:dyDescent="0.3">
      <c r="A111" s="109"/>
      <c r="B111" s="109" t="s">
        <v>318</v>
      </c>
      <c r="C111" s="110" t="s">
        <v>319</v>
      </c>
      <c r="D111" s="177">
        <v>0.96666666666666667</v>
      </c>
      <c r="H111" s="169" t="s">
        <v>480</v>
      </c>
      <c r="I111" s="405">
        <v>706</v>
      </c>
      <c r="J111"/>
    </row>
    <row r="112" spans="1:10" x14ac:dyDescent="0.3">
      <c r="A112" s="109"/>
      <c r="B112" s="109" t="s">
        <v>311</v>
      </c>
      <c r="C112" s="110" t="s">
        <v>312</v>
      </c>
      <c r="D112" s="177">
        <v>1.0294117647058822</v>
      </c>
      <c r="H112" s="286" t="s">
        <v>120</v>
      </c>
      <c r="I112" s="405">
        <v>64</v>
      </c>
      <c r="J112"/>
    </row>
    <row r="113" spans="1:10" x14ac:dyDescent="0.3">
      <c r="A113" s="109"/>
      <c r="B113" s="109" t="s">
        <v>328</v>
      </c>
      <c r="C113" s="110" t="s">
        <v>329</v>
      </c>
      <c r="D113" s="177">
        <v>0.9042553191489362</v>
      </c>
      <c r="H113" s="286" t="s">
        <v>41</v>
      </c>
      <c r="I113" s="405">
        <v>65</v>
      </c>
      <c r="J113"/>
    </row>
    <row r="114" spans="1:10" x14ac:dyDescent="0.3">
      <c r="A114" s="109"/>
      <c r="B114" s="109" t="s">
        <v>336</v>
      </c>
      <c r="C114" s="110" t="s">
        <v>337</v>
      </c>
      <c r="D114" s="177">
        <v>1.258064516129032</v>
      </c>
      <c r="H114" s="286" t="s">
        <v>43</v>
      </c>
      <c r="I114" s="405">
        <v>14</v>
      </c>
      <c r="J114"/>
    </row>
    <row r="115" spans="1:10" x14ac:dyDescent="0.3">
      <c r="A115" s="109"/>
      <c r="B115" s="109" t="s">
        <v>326</v>
      </c>
      <c r="C115" s="110" t="s">
        <v>327</v>
      </c>
      <c r="D115" s="177">
        <v>0.37024221453287198</v>
      </c>
      <c r="H115" s="286" t="s">
        <v>52</v>
      </c>
      <c r="I115" s="405">
        <v>36</v>
      </c>
      <c r="J115"/>
    </row>
    <row r="116" spans="1:10" x14ac:dyDescent="0.3">
      <c r="A116" s="109"/>
      <c r="B116" s="109" t="s">
        <v>316</v>
      </c>
      <c r="C116" s="110" t="s">
        <v>317</v>
      </c>
      <c r="D116" s="177">
        <v>1.0090090090090089</v>
      </c>
      <c r="H116" s="286" t="s">
        <v>72</v>
      </c>
      <c r="I116" s="405">
        <v>5</v>
      </c>
      <c r="J116"/>
    </row>
    <row r="117" spans="1:10" x14ac:dyDescent="0.3">
      <c r="A117" s="109"/>
      <c r="B117" s="109" t="s">
        <v>346</v>
      </c>
      <c r="C117" s="110" t="s">
        <v>347</v>
      </c>
      <c r="D117" s="177">
        <v>1.7173913043478262</v>
      </c>
      <c r="H117" s="286" t="s">
        <v>76</v>
      </c>
      <c r="I117" s="405">
        <v>70</v>
      </c>
      <c r="J117"/>
    </row>
    <row r="118" spans="1:10" x14ac:dyDescent="0.3">
      <c r="A118" s="109"/>
      <c r="B118" s="109" t="s">
        <v>314</v>
      </c>
      <c r="C118" s="110" t="s">
        <v>315</v>
      </c>
      <c r="D118" s="177">
        <v>0.84615384615384626</v>
      </c>
      <c r="H118" s="286" t="s">
        <v>88</v>
      </c>
      <c r="I118" s="405">
        <v>13</v>
      </c>
      <c r="J118"/>
    </row>
    <row r="119" spans="1:10" x14ac:dyDescent="0.3">
      <c r="A119" s="109"/>
      <c r="B119" s="109" t="s">
        <v>324</v>
      </c>
      <c r="C119" s="110" t="s">
        <v>325</v>
      </c>
      <c r="D119" s="177">
        <v>0.88888888888888884</v>
      </c>
      <c r="H119" s="286" t="s">
        <v>44</v>
      </c>
      <c r="I119" s="405">
        <v>4</v>
      </c>
      <c r="J119"/>
    </row>
    <row r="120" spans="1:10" x14ac:dyDescent="0.3">
      <c r="A120" s="109"/>
      <c r="B120" s="109" t="s">
        <v>322</v>
      </c>
      <c r="C120" s="110" t="s">
        <v>323</v>
      </c>
      <c r="D120" s="177">
        <v>1.0983935742971889</v>
      </c>
      <c r="H120" s="286" t="s">
        <v>915</v>
      </c>
      <c r="I120" s="405">
        <v>104</v>
      </c>
      <c r="J120"/>
    </row>
    <row r="121" spans="1:10" x14ac:dyDescent="0.3">
      <c r="A121" s="109"/>
      <c r="B121" s="109" t="s">
        <v>344</v>
      </c>
      <c r="C121" s="110" t="s">
        <v>345</v>
      </c>
      <c r="D121" s="177">
        <v>1.4184782608695652</v>
      </c>
      <c r="H121" s="286" t="s">
        <v>90</v>
      </c>
      <c r="I121" s="405">
        <v>19</v>
      </c>
      <c r="J121"/>
    </row>
    <row r="122" spans="1:10" x14ac:dyDescent="0.3">
      <c r="A122" s="109"/>
      <c r="B122" s="109" t="s">
        <v>332</v>
      </c>
      <c r="C122" s="110" t="s">
        <v>333</v>
      </c>
      <c r="D122" s="177">
        <v>1.2302631578947367</v>
      </c>
      <c r="H122" s="286" t="s">
        <v>92</v>
      </c>
      <c r="I122" s="405">
        <v>12</v>
      </c>
      <c r="J122"/>
    </row>
    <row r="123" spans="1:10" x14ac:dyDescent="0.3">
      <c r="A123" s="109"/>
      <c r="B123" s="109" t="s">
        <v>334</v>
      </c>
      <c r="C123" s="110" t="s">
        <v>335</v>
      </c>
      <c r="D123" s="177">
        <v>0.67114093959731547</v>
      </c>
      <c r="H123" s="286" t="s">
        <v>100</v>
      </c>
      <c r="I123" s="405">
        <v>4</v>
      </c>
      <c r="J123"/>
    </row>
    <row r="124" spans="1:10" x14ac:dyDescent="0.3">
      <c r="A124" s="109"/>
      <c r="B124" s="109" t="s">
        <v>350</v>
      </c>
      <c r="C124" s="110" t="s">
        <v>351</v>
      </c>
      <c r="D124" s="177">
        <v>0.11461318051575932</v>
      </c>
      <c r="H124" s="286" t="s">
        <v>551</v>
      </c>
      <c r="I124" s="405">
        <v>11</v>
      </c>
      <c r="J124"/>
    </row>
    <row r="125" spans="1:10" x14ac:dyDescent="0.3">
      <c r="A125" s="109"/>
      <c r="B125" s="109" t="s">
        <v>320</v>
      </c>
      <c r="C125" s="110" t="s">
        <v>321</v>
      </c>
      <c r="D125" s="177">
        <v>1</v>
      </c>
      <c r="H125" s="286" t="s">
        <v>108</v>
      </c>
      <c r="I125" s="405">
        <v>49</v>
      </c>
      <c r="J125"/>
    </row>
    <row r="126" spans="1:10" x14ac:dyDescent="0.3">
      <c r="A126" s="109"/>
      <c r="B126" s="109" t="s">
        <v>352</v>
      </c>
      <c r="C126" s="110" t="s">
        <v>353</v>
      </c>
      <c r="D126" s="177">
        <v>0.65</v>
      </c>
      <c r="H126" s="286" t="s">
        <v>118</v>
      </c>
      <c r="I126" s="405">
        <v>10</v>
      </c>
      <c r="J126"/>
    </row>
    <row r="127" spans="1:10" x14ac:dyDescent="0.3">
      <c r="A127" s="109"/>
      <c r="B127" s="109" t="s">
        <v>341</v>
      </c>
      <c r="C127" s="110" t="s">
        <v>342</v>
      </c>
      <c r="D127" s="177">
        <v>0.95</v>
      </c>
      <c r="H127" s="333" t="s">
        <v>126</v>
      </c>
      <c r="I127" s="405">
        <v>32</v>
      </c>
      <c r="J127"/>
    </row>
    <row r="128" spans="1:10" x14ac:dyDescent="0.3">
      <c r="A128" s="110"/>
      <c r="B128" s="110" t="s">
        <v>343</v>
      </c>
      <c r="C128" s="110" t="s">
        <v>1030</v>
      </c>
      <c r="D128" s="178">
        <v>0.18817204301075269</v>
      </c>
      <c r="H128" s="286" t="s">
        <v>140</v>
      </c>
      <c r="I128" s="405">
        <v>16</v>
      </c>
      <c r="J128"/>
    </row>
    <row r="129" spans="1:10" x14ac:dyDescent="0.3">
      <c r="A129" s="109" t="s">
        <v>299</v>
      </c>
      <c r="B129" s="110" t="s">
        <v>866</v>
      </c>
      <c r="C129" s="110" t="s">
        <v>787</v>
      </c>
      <c r="D129" s="178">
        <v>0</v>
      </c>
      <c r="H129" s="286" t="s">
        <v>1159</v>
      </c>
      <c r="I129" s="405">
        <v>29</v>
      </c>
      <c r="J129"/>
    </row>
    <row r="130" spans="1:10" x14ac:dyDescent="0.3">
      <c r="A130" s="110"/>
      <c r="B130" s="132" t="s">
        <v>1045</v>
      </c>
      <c r="C130" s="132" t="s">
        <v>1046</v>
      </c>
      <c r="D130" s="112">
        <v>0.98360655737704916</v>
      </c>
      <c r="H130" s="286" t="s">
        <v>1158</v>
      </c>
      <c r="I130" s="405">
        <v>5</v>
      </c>
      <c r="J130"/>
    </row>
    <row r="131" spans="1:10" x14ac:dyDescent="0.3">
      <c r="A131" s="109" t="s">
        <v>719</v>
      </c>
      <c r="B131" s="132" t="s">
        <v>1044</v>
      </c>
      <c r="C131" s="132" t="s">
        <v>1060</v>
      </c>
      <c r="D131" s="112">
        <v>1.0294117647058825</v>
      </c>
      <c r="H131" s="286" t="s">
        <v>1157</v>
      </c>
      <c r="I131" s="405">
        <v>21</v>
      </c>
      <c r="J131"/>
    </row>
    <row r="132" spans="1:10" x14ac:dyDescent="0.3">
      <c r="A132" s="110" t="s">
        <v>411</v>
      </c>
      <c r="B132" s="110"/>
      <c r="C132" s="110"/>
      <c r="D132" s="178">
        <v>105.42932448197416</v>
      </c>
      <c r="H132" s="286" t="s">
        <v>1282</v>
      </c>
      <c r="I132" s="405">
        <v>123</v>
      </c>
      <c r="J132"/>
    </row>
    <row r="133" spans="1:10" x14ac:dyDescent="0.3">
      <c r="B133"/>
      <c r="H133" s="169" t="s">
        <v>27</v>
      </c>
      <c r="I133" s="405">
        <v>497</v>
      </c>
      <c r="J133"/>
    </row>
    <row r="134" spans="1:10" x14ac:dyDescent="0.3">
      <c r="B134"/>
      <c r="H134" s="286" t="s">
        <v>28</v>
      </c>
      <c r="I134" s="405">
        <v>107</v>
      </c>
      <c r="J134"/>
    </row>
    <row r="135" spans="1:10" x14ac:dyDescent="0.3">
      <c r="B135"/>
      <c r="H135" s="333" t="s">
        <v>362</v>
      </c>
      <c r="I135" s="405">
        <v>160</v>
      </c>
      <c r="J135"/>
    </row>
    <row r="136" spans="1:10" x14ac:dyDescent="0.3">
      <c r="B136"/>
      <c r="H136" s="286" t="s">
        <v>363</v>
      </c>
      <c r="I136" s="405">
        <v>143</v>
      </c>
      <c r="J136"/>
    </row>
    <row r="137" spans="1:10" x14ac:dyDescent="0.3">
      <c r="B137"/>
      <c r="H137" s="286" t="s">
        <v>790</v>
      </c>
      <c r="I137" s="405">
        <v>57</v>
      </c>
      <c r="J137"/>
    </row>
    <row r="138" spans="1:10" x14ac:dyDescent="0.3">
      <c r="B138"/>
      <c r="H138" s="286" t="s">
        <v>875</v>
      </c>
      <c r="I138" s="405">
        <v>30</v>
      </c>
      <c r="J138"/>
    </row>
    <row r="139" spans="1:10" x14ac:dyDescent="0.3">
      <c r="B139"/>
      <c r="H139" s="169" t="s">
        <v>288</v>
      </c>
      <c r="I139" s="405">
        <v>410</v>
      </c>
      <c r="J139"/>
    </row>
    <row r="140" spans="1:10" x14ac:dyDescent="0.3">
      <c r="B140"/>
      <c r="H140" s="286" t="s">
        <v>291</v>
      </c>
      <c r="I140" s="405">
        <v>75</v>
      </c>
      <c r="J140"/>
    </row>
    <row r="141" spans="1:10" x14ac:dyDescent="0.3">
      <c r="B141"/>
      <c r="H141" s="286" t="s">
        <v>289</v>
      </c>
      <c r="I141" s="405">
        <v>66</v>
      </c>
      <c r="J141"/>
    </row>
    <row r="142" spans="1:10" x14ac:dyDescent="0.3">
      <c r="B142"/>
      <c r="H142" s="286" t="s">
        <v>905</v>
      </c>
      <c r="I142" s="405">
        <v>38</v>
      </c>
      <c r="J142"/>
    </row>
    <row r="143" spans="1:10" x14ac:dyDescent="0.3">
      <c r="B143"/>
      <c r="H143" s="286" t="s">
        <v>372</v>
      </c>
      <c r="I143" s="405">
        <v>44</v>
      </c>
      <c r="J143"/>
    </row>
    <row r="144" spans="1:10" x14ac:dyDescent="0.3">
      <c r="B144"/>
      <c r="H144" s="333" t="s">
        <v>917</v>
      </c>
      <c r="I144" s="405">
        <v>126</v>
      </c>
      <c r="J144"/>
    </row>
    <row r="145" spans="2:10" x14ac:dyDescent="0.3">
      <c r="B145"/>
      <c r="H145" s="286" t="s">
        <v>1131</v>
      </c>
      <c r="I145" s="405">
        <v>61</v>
      </c>
      <c r="J145"/>
    </row>
    <row r="146" spans="2:10" x14ac:dyDescent="0.3">
      <c r="B146"/>
      <c r="H146" s="169" t="s">
        <v>173</v>
      </c>
      <c r="I146" s="405">
        <v>343</v>
      </c>
      <c r="J146"/>
    </row>
    <row r="147" spans="2:10" x14ac:dyDescent="0.3">
      <c r="B147"/>
      <c r="H147" s="286" t="s">
        <v>174</v>
      </c>
      <c r="I147" s="405">
        <v>13</v>
      </c>
      <c r="J147"/>
    </row>
    <row r="148" spans="2:10" x14ac:dyDescent="0.3">
      <c r="B148"/>
      <c r="H148" s="286" t="s">
        <v>178</v>
      </c>
      <c r="I148" s="405">
        <v>10</v>
      </c>
      <c r="J148"/>
    </row>
    <row r="149" spans="2:10" x14ac:dyDescent="0.3">
      <c r="B149"/>
      <c r="H149" s="286" t="s">
        <v>1062</v>
      </c>
      <c r="I149" s="405">
        <v>27</v>
      </c>
      <c r="J149"/>
    </row>
    <row r="150" spans="2:10" x14ac:dyDescent="0.3">
      <c r="B150"/>
      <c r="H150" s="286" t="s">
        <v>1502</v>
      </c>
      <c r="I150" s="405">
        <v>16</v>
      </c>
      <c r="J150"/>
    </row>
    <row r="151" spans="2:10" x14ac:dyDescent="0.3">
      <c r="B151"/>
      <c r="H151" s="286" t="s">
        <v>1851</v>
      </c>
      <c r="I151" s="405">
        <v>45</v>
      </c>
      <c r="J151"/>
    </row>
    <row r="152" spans="2:10" x14ac:dyDescent="0.3">
      <c r="B152"/>
      <c r="H152" s="286" t="s">
        <v>1852</v>
      </c>
      <c r="I152" s="405">
        <v>89</v>
      </c>
      <c r="J152"/>
    </row>
    <row r="153" spans="2:10" x14ac:dyDescent="0.3">
      <c r="B153"/>
      <c r="H153" s="286" t="s">
        <v>1853</v>
      </c>
      <c r="I153" s="405">
        <v>110</v>
      </c>
      <c r="J153"/>
    </row>
    <row r="154" spans="2:10" x14ac:dyDescent="0.3">
      <c r="B154"/>
      <c r="H154" s="286" t="s">
        <v>1856</v>
      </c>
      <c r="I154" s="405">
        <v>33</v>
      </c>
      <c r="J154"/>
    </row>
    <row r="155" spans="2:10" x14ac:dyDescent="0.3">
      <c r="B155"/>
      <c r="H155" s="169" t="s">
        <v>1137</v>
      </c>
      <c r="I155" s="405">
        <v>235</v>
      </c>
      <c r="J155"/>
    </row>
    <row r="156" spans="2:10" x14ac:dyDescent="0.3">
      <c r="B156"/>
      <c r="H156" s="286" t="s">
        <v>1404</v>
      </c>
      <c r="I156" s="405">
        <v>42</v>
      </c>
      <c r="J156"/>
    </row>
    <row r="157" spans="2:10" x14ac:dyDescent="0.3">
      <c r="B157"/>
      <c r="H157" s="286" t="s">
        <v>1405</v>
      </c>
      <c r="I157" s="405">
        <v>127</v>
      </c>
      <c r="J157"/>
    </row>
    <row r="158" spans="2:10" x14ac:dyDescent="0.3">
      <c r="B158"/>
      <c r="H158" s="286" t="s">
        <v>1406</v>
      </c>
      <c r="I158" s="405">
        <v>36</v>
      </c>
      <c r="J158"/>
    </row>
    <row r="159" spans="2:10" x14ac:dyDescent="0.3">
      <c r="B159"/>
      <c r="H159" s="286" t="s">
        <v>1413</v>
      </c>
      <c r="I159" s="405">
        <v>30</v>
      </c>
      <c r="J159"/>
    </row>
    <row r="160" spans="2:10" x14ac:dyDescent="0.3">
      <c r="B160"/>
      <c r="H160" s="169" t="s">
        <v>230</v>
      </c>
      <c r="I160" s="405">
        <v>213</v>
      </c>
      <c r="J160"/>
    </row>
    <row r="161" spans="2:10" x14ac:dyDescent="0.3">
      <c r="B161"/>
      <c r="H161" s="286" t="s">
        <v>903</v>
      </c>
      <c r="I161" s="405">
        <v>42</v>
      </c>
      <c r="J161"/>
    </row>
    <row r="162" spans="2:10" x14ac:dyDescent="0.3">
      <c r="B162"/>
      <c r="H162" s="286" t="s">
        <v>913</v>
      </c>
      <c r="I162" s="405">
        <v>18</v>
      </c>
      <c r="J162"/>
    </row>
    <row r="163" spans="2:10" x14ac:dyDescent="0.3">
      <c r="B163"/>
      <c r="H163" s="286" t="s">
        <v>716</v>
      </c>
      <c r="I163" s="405">
        <v>153</v>
      </c>
      <c r="J163"/>
    </row>
    <row r="164" spans="2:10" x14ac:dyDescent="0.3">
      <c r="B164"/>
      <c r="H164" s="169" t="s">
        <v>746</v>
      </c>
      <c r="I164" s="405">
        <v>198</v>
      </c>
      <c r="J164"/>
    </row>
    <row r="165" spans="2:10" x14ac:dyDescent="0.3">
      <c r="B165"/>
      <c r="H165" s="286" t="s">
        <v>746</v>
      </c>
      <c r="I165" s="405">
        <v>5</v>
      </c>
      <c r="J165"/>
    </row>
    <row r="166" spans="2:10" x14ac:dyDescent="0.3">
      <c r="B166"/>
      <c r="H166" s="286" t="s">
        <v>1066</v>
      </c>
      <c r="I166" s="405">
        <v>126</v>
      </c>
      <c r="J166"/>
    </row>
    <row r="167" spans="2:10" x14ac:dyDescent="0.3">
      <c r="B167"/>
      <c r="H167" s="286" t="s">
        <v>1068</v>
      </c>
      <c r="I167" s="405">
        <v>67</v>
      </c>
      <c r="J167"/>
    </row>
    <row r="168" spans="2:10" x14ac:dyDescent="0.3">
      <c r="B168"/>
      <c r="H168" s="169" t="s">
        <v>297</v>
      </c>
      <c r="I168" s="405">
        <v>162</v>
      </c>
      <c r="J168"/>
    </row>
    <row r="169" spans="2:10" x14ac:dyDescent="0.3">
      <c r="B169"/>
      <c r="H169" s="286" t="s">
        <v>759</v>
      </c>
      <c r="I169" s="405">
        <v>41</v>
      </c>
      <c r="J169"/>
    </row>
    <row r="170" spans="2:10" x14ac:dyDescent="0.3">
      <c r="B170"/>
      <c r="H170" s="286" t="s">
        <v>1138</v>
      </c>
      <c r="I170" s="405">
        <v>19</v>
      </c>
      <c r="J170"/>
    </row>
    <row r="171" spans="2:10" x14ac:dyDescent="0.3">
      <c r="B171"/>
      <c r="H171" s="286" t="s">
        <v>1192</v>
      </c>
      <c r="I171" s="405">
        <v>43</v>
      </c>
      <c r="J171"/>
    </row>
    <row r="172" spans="2:10" x14ac:dyDescent="0.3">
      <c r="B172"/>
      <c r="H172" s="286" t="s">
        <v>1281</v>
      </c>
      <c r="I172" s="405">
        <v>59</v>
      </c>
      <c r="J172"/>
    </row>
    <row r="173" spans="2:10" x14ac:dyDescent="0.3">
      <c r="B173"/>
      <c r="H173" s="169" t="s">
        <v>301</v>
      </c>
      <c r="I173" s="405">
        <v>134</v>
      </c>
      <c r="J173"/>
    </row>
    <row r="174" spans="2:10" x14ac:dyDescent="0.3">
      <c r="B174"/>
      <c r="H174" s="286" t="s">
        <v>305</v>
      </c>
      <c r="I174" s="405">
        <v>88</v>
      </c>
      <c r="J174"/>
    </row>
    <row r="175" spans="2:10" x14ac:dyDescent="0.3">
      <c r="B175"/>
      <c r="H175" s="286" t="s">
        <v>307</v>
      </c>
      <c r="I175" s="405">
        <v>46</v>
      </c>
      <c r="J175"/>
    </row>
    <row r="176" spans="2:10" x14ac:dyDescent="0.3">
      <c r="B176"/>
      <c r="H176" s="169" t="s">
        <v>719</v>
      </c>
      <c r="I176" s="405">
        <v>99</v>
      </c>
      <c r="J176"/>
    </row>
    <row r="177" spans="2:10" x14ac:dyDescent="0.3">
      <c r="B177"/>
      <c r="H177" s="286" t="s">
        <v>535</v>
      </c>
      <c r="I177" s="405">
        <v>67</v>
      </c>
      <c r="J177"/>
    </row>
    <row r="178" spans="2:10" x14ac:dyDescent="0.3">
      <c r="B178"/>
      <c r="H178" s="286" t="s">
        <v>1060</v>
      </c>
      <c r="I178" s="405">
        <v>32</v>
      </c>
      <c r="J178"/>
    </row>
    <row r="179" spans="2:10" x14ac:dyDescent="0.3">
      <c r="B179"/>
      <c r="H179" s="169" t="s">
        <v>166</v>
      </c>
      <c r="I179" s="405">
        <v>98</v>
      </c>
      <c r="J179"/>
    </row>
    <row r="180" spans="2:10" x14ac:dyDescent="0.3">
      <c r="B180"/>
      <c r="H180" s="286" t="s">
        <v>167</v>
      </c>
      <c r="I180" s="405">
        <v>33</v>
      </c>
      <c r="J180"/>
    </row>
    <row r="181" spans="2:10" x14ac:dyDescent="0.3">
      <c r="B181"/>
      <c r="H181" s="286" t="s">
        <v>760</v>
      </c>
      <c r="I181" s="405">
        <v>29</v>
      </c>
      <c r="J181"/>
    </row>
    <row r="182" spans="2:10" x14ac:dyDescent="0.3">
      <c r="B182"/>
      <c r="H182" s="286" t="s">
        <v>1141</v>
      </c>
      <c r="I182" s="405">
        <v>36</v>
      </c>
      <c r="J182"/>
    </row>
    <row r="183" spans="2:10" x14ac:dyDescent="0.3">
      <c r="B183"/>
      <c r="H183" s="169" t="s">
        <v>299</v>
      </c>
      <c r="I183" s="405">
        <v>85</v>
      </c>
      <c r="J183"/>
    </row>
    <row r="184" spans="2:10" x14ac:dyDescent="0.3">
      <c r="B184"/>
      <c r="H184" s="286" t="s">
        <v>892</v>
      </c>
      <c r="I184" s="405">
        <v>10</v>
      </c>
      <c r="J184"/>
    </row>
    <row r="185" spans="2:10" x14ac:dyDescent="0.3">
      <c r="B185"/>
      <c r="H185" s="286" t="s">
        <v>300</v>
      </c>
      <c r="I185" s="405">
        <v>14</v>
      </c>
      <c r="J185"/>
    </row>
    <row r="186" spans="2:10" x14ac:dyDescent="0.3">
      <c r="B186"/>
      <c r="H186" s="286" t="s">
        <v>1046</v>
      </c>
      <c r="I186" s="405">
        <v>61</v>
      </c>
      <c r="J186"/>
    </row>
    <row r="187" spans="2:10" x14ac:dyDescent="0.3">
      <c r="B187"/>
      <c r="H187" s="169" t="s">
        <v>180</v>
      </c>
      <c r="I187" s="405">
        <v>76</v>
      </c>
      <c r="J187"/>
    </row>
    <row r="188" spans="2:10" x14ac:dyDescent="0.3">
      <c r="B188"/>
      <c r="H188" s="286" t="s">
        <v>286</v>
      </c>
      <c r="I188" s="405">
        <v>24</v>
      </c>
      <c r="J188"/>
    </row>
    <row r="189" spans="2:10" x14ac:dyDescent="0.3">
      <c r="B189"/>
      <c r="H189" s="286" t="s">
        <v>181</v>
      </c>
      <c r="I189" s="405">
        <v>11</v>
      </c>
      <c r="J189"/>
    </row>
    <row r="190" spans="2:10" x14ac:dyDescent="0.3">
      <c r="B190"/>
      <c r="H190" s="286" t="s">
        <v>984</v>
      </c>
      <c r="I190" s="405">
        <v>27</v>
      </c>
      <c r="J190"/>
    </row>
    <row r="191" spans="2:10" x14ac:dyDescent="0.3">
      <c r="B191"/>
      <c r="H191" s="286" t="s">
        <v>985</v>
      </c>
      <c r="I191" s="405">
        <v>14</v>
      </c>
      <c r="J191"/>
    </row>
    <row r="192" spans="2:10" x14ac:dyDescent="0.3">
      <c r="B192"/>
      <c r="H192" s="169" t="s">
        <v>1201</v>
      </c>
      <c r="I192" s="405">
        <v>37</v>
      </c>
      <c r="J192"/>
    </row>
    <row r="193" spans="2:10" x14ac:dyDescent="0.3">
      <c r="B193"/>
      <c r="H193" s="286" t="s">
        <v>1198</v>
      </c>
      <c r="I193" s="405">
        <v>37</v>
      </c>
      <c r="J193"/>
    </row>
    <row r="194" spans="2:10" x14ac:dyDescent="0.3">
      <c r="B194"/>
      <c r="H194" s="201" t="s">
        <v>411</v>
      </c>
      <c r="I194" s="406">
        <v>20342</v>
      </c>
      <c r="J194"/>
    </row>
    <row r="195" spans="2:10" x14ac:dyDescent="0.3">
      <c r="B195"/>
      <c r="H195"/>
      <c r="I195"/>
      <c r="J195"/>
    </row>
    <row r="196" spans="2:10" x14ac:dyDescent="0.3">
      <c r="B196"/>
      <c r="H196"/>
      <c r="I196"/>
      <c r="J196"/>
    </row>
    <row r="197" spans="2:10" x14ac:dyDescent="0.3">
      <c r="B197"/>
      <c r="H197"/>
      <c r="I197"/>
      <c r="J197"/>
    </row>
    <row r="198" spans="2:10" x14ac:dyDescent="0.3">
      <c r="B198"/>
      <c r="H198"/>
      <c r="I198"/>
      <c r="J198"/>
    </row>
    <row r="199" spans="2:10" x14ac:dyDescent="0.3">
      <c r="B199"/>
      <c r="H199"/>
      <c r="I199"/>
      <c r="J199"/>
    </row>
    <row r="200" spans="2:10" x14ac:dyDescent="0.3">
      <c r="B200"/>
      <c r="H200"/>
      <c r="I200"/>
      <c r="J200"/>
    </row>
    <row r="201" spans="2:10" x14ac:dyDescent="0.3">
      <c r="B201"/>
      <c r="H201"/>
      <c r="I201"/>
      <c r="J201"/>
    </row>
    <row r="202" spans="2:10" x14ac:dyDescent="0.3">
      <c r="B202"/>
      <c r="H202"/>
      <c r="I202"/>
      <c r="J202"/>
    </row>
    <row r="203" spans="2:10" x14ac:dyDescent="0.3">
      <c r="B203"/>
      <c r="H203"/>
      <c r="I203"/>
      <c r="J203"/>
    </row>
    <row r="204" spans="2:10" x14ac:dyDescent="0.3">
      <c r="B204"/>
      <c r="H204"/>
      <c r="I204"/>
      <c r="J204"/>
    </row>
    <row r="205" spans="2:10" x14ac:dyDescent="0.3">
      <c r="B205"/>
      <c r="H205"/>
      <c r="I205"/>
      <c r="J205"/>
    </row>
    <row r="206" spans="2:10" x14ac:dyDescent="0.3">
      <c r="B206"/>
    </row>
    <row r="207" spans="2:10" x14ac:dyDescent="0.3">
      <c r="B207"/>
    </row>
    <row r="208" spans="2:10" x14ac:dyDescent="0.3">
      <c r="B208"/>
    </row>
    <row r="209" spans="2:2" x14ac:dyDescent="0.3">
      <c r="B209"/>
    </row>
    <row r="210" spans="2:2" x14ac:dyDescent="0.3">
      <c r="B210"/>
    </row>
    <row r="211" spans="2:2" x14ac:dyDescent="0.3">
      <c r="B211"/>
    </row>
    <row r="212" spans="2:2" x14ac:dyDescent="0.3">
      <c r="B212"/>
    </row>
    <row r="213" spans="2:2" x14ac:dyDescent="0.3">
      <c r="B213"/>
    </row>
    <row r="214" spans="2:2" x14ac:dyDescent="0.3">
      <c r="B214"/>
    </row>
    <row r="215" spans="2:2" x14ac:dyDescent="0.3">
      <c r="B215"/>
    </row>
    <row r="216" spans="2:2" x14ac:dyDescent="0.3">
      <c r="B216"/>
    </row>
    <row r="217" spans="2:2" x14ac:dyDescent="0.3">
      <c r="B217"/>
    </row>
    <row r="218" spans="2:2" x14ac:dyDescent="0.3">
      <c r="B218"/>
    </row>
    <row r="219" spans="2:2" x14ac:dyDescent="0.3">
      <c r="B219"/>
    </row>
    <row r="220" spans="2:2" x14ac:dyDescent="0.3">
      <c r="B220"/>
    </row>
    <row r="221" spans="2:2" x14ac:dyDescent="0.3">
      <c r="B221"/>
    </row>
    <row r="222" spans="2:2" x14ac:dyDescent="0.3">
      <c r="B222"/>
    </row>
    <row r="223" spans="2:2" x14ac:dyDescent="0.3">
      <c r="B223"/>
    </row>
    <row r="224" spans="2:2" x14ac:dyDescent="0.3">
      <c r="B224"/>
    </row>
    <row r="225" spans="2:2" x14ac:dyDescent="0.3">
      <c r="B225"/>
    </row>
    <row r="226" spans="2:2" x14ac:dyDescent="0.3">
      <c r="B226"/>
    </row>
    <row r="227" spans="2:2" x14ac:dyDescent="0.3">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130" zoomScaleNormal="130" zoomScaleSheetLayoutView="100" zoomScalePageLayoutView="80" workbookViewId="0">
      <selection activeCell="H7" sqref="H7"/>
    </sheetView>
  </sheetViews>
  <sheetFormatPr defaultColWidth="9.109375" defaultRowHeight="14.4" x14ac:dyDescent="0.3"/>
  <cols>
    <col min="1" max="1" width="2.44140625" style="191" customWidth="1"/>
    <col min="2" max="2" width="11.88671875" style="191" customWidth="1"/>
    <col min="3" max="3" width="9" style="191" customWidth="1"/>
    <col min="4" max="4" width="9.88671875" style="191" customWidth="1"/>
    <col min="5" max="5" width="8" style="191" customWidth="1"/>
    <col min="6" max="6" width="7.33203125" style="191" customWidth="1"/>
    <col min="7" max="7" width="10.109375" style="191" bestFit="1" customWidth="1"/>
    <col min="8" max="8" width="12.44140625" style="191" bestFit="1" customWidth="1"/>
    <col min="9" max="9" width="5" style="191" customWidth="1"/>
    <col min="10" max="11" width="16" style="191" customWidth="1"/>
    <col min="12" max="12" width="9.109375" style="191"/>
    <col min="13" max="13" width="8.6640625" style="191" customWidth="1"/>
    <col min="14" max="14" width="5.88671875" style="191" customWidth="1"/>
    <col min="15" max="15" width="15.6640625" style="191" customWidth="1"/>
    <col min="16" max="16" width="2.33203125" style="288" customWidth="1"/>
    <col min="17" max="17" width="7.6640625" style="288" customWidth="1"/>
    <col min="18" max="20" width="9.109375" style="288" customWidth="1"/>
    <col min="21" max="21" width="21.109375" style="288" customWidth="1"/>
    <col min="22" max="22" width="9.109375" style="288" customWidth="1"/>
    <col min="23" max="24" width="9.109375" style="191" customWidth="1"/>
    <col min="25" max="78" width="9.109375" style="191"/>
    <col min="79" max="79" width="9.109375" style="191" customWidth="1"/>
    <col min="80" max="80" width="15" style="191" customWidth="1"/>
    <col min="81" max="83" width="8" style="191" customWidth="1"/>
    <col min="84" max="16384" width="9.109375" style="191"/>
  </cols>
  <sheetData>
    <row r="1" spans="1:85" ht="12.75" customHeight="1" x14ac:dyDescent="0.3">
      <c r="A1" s="535"/>
      <c r="B1" s="457"/>
      <c r="C1" s="457"/>
      <c r="D1" s="457"/>
      <c r="E1" s="457"/>
      <c r="F1" s="457"/>
      <c r="G1" s="457"/>
      <c r="H1" s="457"/>
      <c r="I1" s="457"/>
      <c r="J1" s="457"/>
      <c r="K1" s="457"/>
      <c r="L1" s="457"/>
      <c r="M1" s="457"/>
      <c r="N1" s="457"/>
      <c r="O1" s="457"/>
      <c r="P1" s="540"/>
    </row>
    <row r="2" spans="1:85" ht="28.5" customHeight="1" x14ac:dyDescent="0.3">
      <c r="A2" s="541"/>
      <c r="B2" s="790" t="s">
        <v>533</v>
      </c>
      <c r="C2" s="791"/>
      <c r="D2" s="791"/>
      <c r="E2" s="791"/>
      <c r="F2" s="791"/>
      <c r="G2" s="791"/>
      <c r="H2" s="791"/>
      <c r="I2" s="791"/>
      <c r="J2" s="791"/>
      <c r="K2" s="791"/>
      <c r="L2" s="383"/>
      <c r="M2" s="383"/>
      <c r="N2" s="383"/>
      <c r="O2" s="190"/>
      <c r="P2" s="542"/>
      <c r="Q2" s="478" t="s">
        <v>1440</v>
      </c>
      <c r="R2" s="419"/>
      <c r="S2" s="419"/>
      <c r="T2" s="419"/>
      <c r="U2" s="419"/>
      <c r="AL2" s="334"/>
      <c r="AM2" s="334"/>
      <c r="CC2" s="191" t="s">
        <v>980</v>
      </c>
      <c r="CD2" s="379" t="e">
        <f>GETPIVOTDATA("# HH",$B$9)</f>
        <v>#REF!</v>
      </c>
    </row>
    <row r="3" spans="1:85" s="324" customFormat="1" ht="28.5" customHeight="1" x14ac:dyDescent="0.3">
      <c r="A3" s="541"/>
      <c r="B3" s="782">
        <f>Definition!B23</f>
        <v>43191</v>
      </c>
      <c r="C3" s="783"/>
      <c r="D3" s="783"/>
      <c r="E3" s="783"/>
      <c r="F3" s="783"/>
      <c r="G3" s="783"/>
      <c r="H3" s="783"/>
      <c r="I3" s="783"/>
      <c r="J3" s="783"/>
      <c r="K3" s="384"/>
      <c r="L3" s="384"/>
      <c r="M3" s="384"/>
      <c r="N3" s="384"/>
      <c r="O3" s="192"/>
      <c r="P3" s="543"/>
      <c r="Q3" s="412">
        <f>COUNTIFS(CampList[[#All],[Status]],"Open",CampList[[#All],[Type of Accomodation]],"Camp")+COUNTIFS(CampList[[#All],[Status]],"Open",CampList[[#All],[Type of Accomodation]],"Camp like setting")</f>
        <v>156</v>
      </c>
      <c r="R3" s="419"/>
      <c r="S3" s="419"/>
      <c r="T3" s="419"/>
      <c r="U3" s="419"/>
      <c r="V3" s="288"/>
      <c r="W3" s="191"/>
      <c r="X3" s="191"/>
      <c r="Y3" s="191"/>
      <c r="AA3" s="191"/>
      <c r="AB3" s="191"/>
      <c r="AL3" s="193"/>
      <c r="AM3" s="193"/>
      <c r="CC3" s="191" t="s">
        <v>1026</v>
      </c>
      <c r="CD3" s="379" t="e">
        <f>GETPIVOTDATA("# Camps",$B$9)</f>
        <v>#REF!</v>
      </c>
      <c r="CE3" s="191"/>
      <c r="CF3" s="191"/>
    </row>
    <row r="4" spans="1:85" s="324" customFormat="1" ht="8.25" customHeight="1" x14ac:dyDescent="0.3">
      <c r="A4" s="541"/>
      <c r="B4" s="499"/>
      <c r="C4" s="499"/>
      <c r="D4" s="499"/>
      <c r="E4" s="499"/>
      <c r="F4" s="499"/>
      <c r="G4" s="499"/>
      <c r="H4" s="499"/>
      <c r="I4" s="499"/>
      <c r="J4" s="499"/>
      <c r="K4" s="85"/>
      <c r="L4" s="85"/>
      <c r="M4" s="85"/>
      <c r="N4" s="85"/>
      <c r="O4" s="417"/>
      <c r="P4" s="543"/>
      <c r="Q4" s="412"/>
      <c r="R4" s="419"/>
      <c r="S4" s="419"/>
      <c r="T4" s="419"/>
      <c r="U4" s="419"/>
      <c r="V4" s="288"/>
      <c r="W4" s="191"/>
      <c r="X4" s="191"/>
      <c r="Y4" s="191"/>
      <c r="AA4" s="191"/>
      <c r="AB4" s="191"/>
      <c r="AL4" s="193"/>
      <c r="AM4" s="193"/>
      <c r="CC4" s="191"/>
      <c r="CD4" s="379"/>
      <c r="CE4" s="191"/>
      <c r="CF4" s="191"/>
    </row>
    <row r="5" spans="1:85" s="515" customFormat="1" ht="18" customHeight="1" x14ac:dyDescent="0.3">
      <c r="A5" s="544"/>
      <c r="B5" s="520" t="s">
        <v>1440</v>
      </c>
      <c r="C5" s="521"/>
      <c r="D5" s="521"/>
      <c r="E5" s="521"/>
      <c r="F5" s="521"/>
      <c r="G5" s="522"/>
      <c r="H5" s="554">
        <v>52</v>
      </c>
      <c r="I5" s="527"/>
      <c r="J5" s="511"/>
      <c r="K5" s="512"/>
      <c r="L5" s="512"/>
      <c r="M5" s="512"/>
      <c r="N5" s="512"/>
      <c r="O5" s="510"/>
      <c r="P5" s="545"/>
      <c r="Q5" s="513"/>
      <c r="R5" s="513"/>
      <c r="S5" s="513"/>
      <c r="T5" s="513"/>
      <c r="U5" s="513"/>
      <c r="V5" s="513"/>
      <c r="W5" s="514"/>
      <c r="X5" s="514"/>
      <c r="Y5" s="514"/>
      <c r="AA5" s="514"/>
      <c r="AB5" s="514"/>
      <c r="AL5" s="516"/>
      <c r="AM5" s="516"/>
      <c r="CC5" s="514"/>
      <c r="CD5" s="517"/>
      <c r="CE5" s="514"/>
      <c r="CF5" s="514"/>
    </row>
    <row r="6" spans="1:85" s="514" customFormat="1" ht="18" customHeight="1" x14ac:dyDescent="0.3">
      <c r="A6" s="544"/>
      <c r="B6" s="520" t="s">
        <v>1379</v>
      </c>
      <c r="C6" s="521"/>
      <c r="D6" s="521"/>
      <c r="E6" s="521"/>
      <c r="F6" s="521"/>
      <c r="G6" s="522"/>
      <c r="H6" s="528">
        <f>F30</f>
        <v>2243</v>
      </c>
      <c r="I6" s="527"/>
      <c r="J6" s="510"/>
      <c r="K6" s="510"/>
      <c r="L6" s="510"/>
      <c r="M6" s="510"/>
      <c r="N6" s="510"/>
      <c r="O6" s="510"/>
      <c r="P6" s="546"/>
      <c r="Q6" s="513"/>
      <c r="R6" s="693"/>
      <c r="S6" s="513"/>
      <c r="T6" s="513"/>
      <c r="U6" s="513"/>
      <c r="V6" s="513"/>
      <c r="CC6" s="514" t="s">
        <v>982</v>
      </c>
      <c r="CD6" s="518" t="e">
        <f>GETPIVOTDATA("# HH",$B$9)-GETPIVOTDATA("# Shelter Gap",$B$9)</f>
        <v>#REF!</v>
      </c>
      <c r="CE6" s="519" t="e">
        <f>CD6/CD2</f>
        <v>#REF!</v>
      </c>
    </row>
    <row r="7" spans="1:85" s="514" customFormat="1" ht="18" customHeight="1" x14ac:dyDescent="0.3">
      <c r="A7" s="544"/>
      <c r="B7" s="520" t="s">
        <v>1569</v>
      </c>
      <c r="C7" s="521"/>
      <c r="D7" s="521"/>
      <c r="E7" s="521"/>
      <c r="F7" s="521"/>
      <c r="G7" s="522"/>
      <c r="H7" s="529">
        <f>G30</f>
        <v>4670</v>
      </c>
      <c r="I7" s="527"/>
      <c r="J7" s="510"/>
      <c r="K7" s="510"/>
      <c r="L7" s="510"/>
      <c r="M7" s="510"/>
      <c r="N7" s="510"/>
      <c r="O7" s="510"/>
      <c r="P7" s="546"/>
      <c r="Q7" s="513"/>
      <c r="R7" s="513"/>
      <c r="S7" s="513"/>
      <c r="T7" s="513"/>
      <c r="U7" s="513"/>
      <c r="V7" s="513"/>
      <c r="CB7" s="515"/>
      <c r="CC7" s="514" t="s">
        <v>981</v>
      </c>
      <c r="CD7" s="517" t="e">
        <f>GETPIVOTDATA("# Shelter Gap",$B$9)</f>
        <v>#REF!</v>
      </c>
      <c r="CE7" s="519"/>
    </row>
    <row r="8" spans="1:85" ht="6" customHeight="1" x14ac:dyDescent="0.3">
      <c r="A8" s="547"/>
      <c r="B8" s="204"/>
      <c r="C8" s="204"/>
      <c r="D8" s="204"/>
      <c r="E8" s="204"/>
      <c r="F8" s="204"/>
      <c r="G8" s="204"/>
      <c r="H8" s="204"/>
      <c r="I8" s="527"/>
      <c r="J8" s="204"/>
      <c r="K8" s="204"/>
      <c r="L8" s="204"/>
      <c r="M8" s="204"/>
      <c r="N8" s="204"/>
      <c r="O8" s="204"/>
      <c r="P8" s="542"/>
      <c r="CC8" s="191" t="s">
        <v>983</v>
      </c>
      <c r="CD8" s="379" t="e">
        <f>GETPIVOTDATA("# Const. Shelter",$B$9)</f>
        <v>#REF!</v>
      </c>
      <c r="CE8" s="380" t="e">
        <f>CD8/CD2</f>
        <v>#REF!</v>
      </c>
    </row>
    <row r="9" spans="1:85" ht="42" customHeight="1" x14ac:dyDescent="0.3">
      <c r="A9" s="547"/>
      <c r="B9" s="376" t="s">
        <v>0</v>
      </c>
      <c r="C9" s="377" t="s">
        <v>1378</v>
      </c>
      <c r="D9" s="377" t="s">
        <v>1377</v>
      </c>
      <c r="E9" s="377" t="s">
        <v>1382</v>
      </c>
      <c r="F9" s="377" t="s">
        <v>1379</v>
      </c>
      <c r="G9" s="377" t="s">
        <v>1383</v>
      </c>
      <c r="H9" s="377" t="s">
        <v>1625</v>
      </c>
      <c r="I9" s="527"/>
      <c r="J9" s="204"/>
      <c r="K9" s="204"/>
      <c r="L9" s="204"/>
      <c r="M9" s="204"/>
      <c r="N9" s="204"/>
      <c r="O9" s="204"/>
      <c r="P9" s="542"/>
    </row>
    <row r="10" spans="1:85" ht="12.6" customHeight="1" x14ac:dyDescent="0.3">
      <c r="A10" s="547"/>
      <c r="B10" s="523" t="s">
        <v>5</v>
      </c>
      <c r="C10" s="524">
        <f>GETPIVOTDATA("HH",'IDP location Analysis'!$B$9,"Township","Bhamo")</f>
        <v>1480</v>
      </c>
      <c r="D10" s="525">
        <f>GETPIVOTDATA("Individuals",'IDP location Analysis'!$B$9,"Township","Bhamo")</f>
        <v>8307</v>
      </c>
      <c r="E10" s="525">
        <f>'Shelter Gap Analysis'!H15+'Shelter Gap Analysis'!J15+'Shelter Gap Analysis'!K15</f>
        <v>413</v>
      </c>
      <c r="F10" s="526">
        <f>'Shelter Gap Analysis'!M15+'Shelter Gap Analysis'!O15+'Shelter Gap Analysis'!P15</f>
        <v>211</v>
      </c>
      <c r="G10" s="524">
        <f>E10-F10</f>
        <v>202</v>
      </c>
      <c r="H10" s="527">
        <f>IF(AND(E10=0,F10=0),"",IF((IFERROR(F10/E10,0))=0,"no coverage",F10/E10))</f>
        <v>0.51089588377723971</v>
      </c>
      <c r="I10" s="527"/>
      <c r="J10" s="335"/>
      <c r="K10" s="335"/>
      <c r="L10" s="204"/>
      <c r="M10" s="204"/>
      <c r="N10" s="204"/>
      <c r="O10" s="204"/>
      <c r="P10" s="542"/>
    </row>
    <row r="11" spans="1:85" ht="12.6" customHeight="1" x14ac:dyDescent="0.3">
      <c r="A11" s="458"/>
      <c r="B11" s="523" t="s">
        <v>27</v>
      </c>
      <c r="C11" s="524">
        <f>GETPIVOTDATA("HH",'IDP location Analysis'!$B$9,"Township","Chipwi")</f>
        <v>497</v>
      </c>
      <c r="D11" s="525">
        <f>GETPIVOTDATA("Individuals",'IDP location Analysis'!$B$9,"Township","Chipwi")</f>
        <v>2471</v>
      </c>
      <c r="E11" s="525">
        <f>'Shelter Gap Analysis'!H21+'Shelter Gap Analysis'!J21+'Shelter Gap Analysis'!K21</f>
        <v>161</v>
      </c>
      <c r="F11" s="526">
        <f>'Shelter Gap Analysis'!M21+'Shelter Gap Analysis'!O21+'Shelter Gap Analysis'!P21</f>
        <v>61</v>
      </c>
      <c r="G11" s="524">
        <f t="shared" ref="G11:G27" si="0">E11-F11</f>
        <v>100</v>
      </c>
      <c r="H11" s="527">
        <f t="shared" ref="H11:H26" si="1">IF(AND(E11=0,F11=0),"",IF((IFERROR(F11/E11,0))=0,"no coverage",F11/E11))</f>
        <v>0.37888198757763975</v>
      </c>
      <c r="I11" s="527"/>
      <c r="J11" s="336"/>
      <c r="K11" s="336"/>
      <c r="L11" s="204"/>
      <c r="M11" s="204"/>
      <c r="N11" s="204"/>
      <c r="O11" s="204"/>
      <c r="P11" s="542"/>
    </row>
    <row r="12" spans="1:85" ht="12.6" customHeight="1" x14ac:dyDescent="0.3">
      <c r="A12" s="458"/>
      <c r="B12" s="523" t="s">
        <v>480</v>
      </c>
      <c r="C12" s="524">
        <f>GETPIVOTDATA("HH",'IDP location Analysis'!$B$9,"Township","Hpakant")</f>
        <v>706</v>
      </c>
      <c r="D12" s="525">
        <f>GETPIVOTDATA("Individuals",'IDP location Analysis'!$B$9,"Township","Hpakant")</f>
        <v>3587</v>
      </c>
      <c r="E12" s="525">
        <f>'Shelter Gap Analysis'!H43+'Shelter Gap Analysis'!J43+'Shelter Gap Analysis'!K43</f>
        <v>318</v>
      </c>
      <c r="F12" s="526">
        <f>'Shelter Gap Analysis'!M43+'Shelter Gap Analysis'!O43+'Shelter Gap Analysis'!P43</f>
        <v>72</v>
      </c>
      <c r="G12" s="524">
        <f t="shared" si="0"/>
        <v>246</v>
      </c>
      <c r="H12" s="527">
        <f t="shared" si="1"/>
        <v>0.22641509433962265</v>
      </c>
      <c r="I12" s="527"/>
      <c r="J12" s="336"/>
      <c r="K12" s="336"/>
      <c r="L12" s="204"/>
      <c r="M12" s="204"/>
      <c r="N12" s="204"/>
      <c r="O12" s="204"/>
      <c r="P12" s="542"/>
    </row>
    <row r="13" spans="1:85" ht="12.6" customHeight="1" x14ac:dyDescent="0.3">
      <c r="A13" s="458"/>
      <c r="B13" s="714" t="s">
        <v>719</v>
      </c>
      <c r="C13" s="524">
        <f>GETPIVOTDATA("HH",'IDP location Analysis'!$B$9,"Township","Hseni")</f>
        <v>99</v>
      </c>
      <c r="D13" s="525">
        <f>GETPIVOTDATA("Individuals",'IDP location Analysis'!$B$9,"Township","Hseni")</f>
        <v>559</v>
      </c>
      <c r="E13" s="525">
        <f>'Shelter Gap Analysis'!H45+'Shelter Gap Analysis'!J45+'Shelter Gap Analysis'!K45</f>
        <v>7</v>
      </c>
      <c r="F13" s="526">
        <f>'Shelter Gap Analysis'!M45+'Shelter Gap Analysis'!O45+'Shelter Gap Analysis'!P45</f>
        <v>0</v>
      </c>
      <c r="G13" s="524">
        <f t="shared" si="0"/>
        <v>7</v>
      </c>
      <c r="H13" s="527" t="str">
        <f>IF(AND(E13=0,F13=0),"",IF((IFERROR(F13/E13,0))=0,"no coverage",F13/E13))</f>
        <v>no coverage</v>
      </c>
      <c r="I13" s="527"/>
      <c r="J13" s="204"/>
      <c r="K13" s="336"/>
      <c r="L13" s="204"/>
      <c r="M13" s="204"/>
      <c r="N13" s="204"/>
      <c r="O13" s="204"/>
      <c r="P13" s="542"/>
    </row>
    <row r="14" spans="1:85" ht="12.6" customHeight="1" x14ac:dyDescent="0.3">
      <c r="A14" s="458"/>
      <c r="B14" s="523" t="s">
        <v>1201</v>
      </c>
      <c r="C14" s="524">
        <f>GETPIVOTDATA("HH",'IDP location Analysis'!$B$9,"Township","Hsipaw")</f>
        <v>37</v>
      </c>
      <c r="D14" s="525">
        <f>GETPIVOTDATA("Individuals",'IDP location Analysis'!$B$9,"Township","Hsipaw")</f>
        <v>120</v>
      </c>
      <c r="E14" s="525">
        <f>'Shelter Gap Analysis'!H47+'Shelter Gap Analysis'!J47+'Shelter Gap Analysis'!K47</f>
        <v>0</v>
      </c>
      <c r="F14" s="526">
        <f>'Shelter Gap Analysis'!M47+'Shelter Gap Analysis'!O47+'Shelter Gap Analysis'!P47</f>
        <v>0</v>
      </c>
      <c r="G14" s="524">
        <f t="shared" si="0"/>
        <v>0</v>
      </c>
      <c r="H14" s="527" t="str">
        <f>IF(AND(E14=0,F14=0),"",IF((IFERROR(F14/E14,0))=0,"no coverage",F14/E14))</f>
        <v/>
      </c>
      <c r="I14" s="527"/>
      <c r="J14" s="204"/>
      <c r="K14" s="336"/>
      <c r="L14" s="204"/>
      <c r="M14" s="204"/>
      <c r="N14" s="204"/>
      <c r="O14" s="204"/>
      <c r="P14" s="542"/>
    </row>
    <row r="15" spans="1:85" ht="12.6" customHeight="1" x14ac:dyDescent="0.3">
      <c r="A15" s="458"/>
      <c r="B15" s="523" t="s">
        <v>146</v>
      </c>
      <c r="C15" s="524">
        <f>GETPIVOTDATA("HH",'IDP location Analysis'!$B$9,"Township","Kutkai")</f>
        <v>867</v>
      </c>
      <c r="D15" s="525">
        <f>GETPIVOTDATA("Individuals",'IDP location Analysis'!$B$9,"Township","Kutkai")</f>
        <v>4193</v>
      </c>
      <c r="E15" s="525">
        <f>'Shelter Gap Analysis'!H61+'Shelter Gap Analysis'!J61+'Shelter Gap Analysis'!K61</f>
        <v>317</v>
      </c>
      <c r="F15" s="526">
        <f>'Shelter Gap Analysis'!M61+'Shelter Gap Analysis'!O61+'Shelter Gap Analysis'!P61</f>
        <v>143</v>
      </c>
      <c r="G15" s="524">
        <f t="shared" si="0"/>
        <v>174</v>
      </c>
      <c r="H15" s="527">
        <f t="shared" si="1"/>
        <v>0.45110410094637227</v>
      </c>
      <c r="I15" s="527"/>
      <c r="J15" s="204"/>
      <c r="K15" s="336"/>
      <c r="L15" s="204"/>
      <c r="M15" s="204"/>
      <c r="N15" s="204"/>
      <c r="O15" s="204"/>
      <c r="P15" s="542"/>
    </row>
    <row r="16" spans="1:85" ht="15" customHeight="1" x14ac:dyDescent="0.3">
      <c r="A16" s="547"/>
      <c r="B16" s="523" t="s">
        <v>151</v>
      </c>
      <c r="C16" s="524">
        <f>GETPIVOTDATA("HH",'IDP location Analysis'!$B$9,"Township","Mansi")</f>
        <v>2833</v>
      </c>
      <c r="D16" s="525">
        <f>GETPIVOTDATA("Individuals",'IDP location Analysis'!$B$9,"Township","Mansi")</f>
        <v>13390</v>
      </c>
      <c r="E16" s="525">
        <f>'Shelter Gap Analysis'!H71+'Shelter Gap Analysis'!J71+'Shelter Gap Analysis'!K71</f>
        <v>731</v>
      </c>
      <c r="F16" s="526">
        <f>'Shelter Gap Analysis'!M71+'Shelter Gap Analysis'!O71+'Shelter Gap Analysis'!P71</f>
        <v>497</v>
      </c>
      <c r="G16" s="524">
        <f t="shared" si="0"/>
        <v>234</v>
      </c>
      <c r="H16" s="527">
        <f>IF(AND(E16=0,F16=0),"",IF((IFERROR(F16/E16,0))=0,"no coverage",F16/E16))</f>
        <v>0.67989056087551303</v>
      </c>
      <c r="I16" s="527"/>
      <c r="J16" s="204"/>
      <c r="K16" s="204"/>
      <c r="L16" s="336"/>
      <c r="M16" s="204"/>
      <c r="N16" s="204"/>
      <c r="O16" s="204"/>
      <c r="P16" s="459"/>
      <c r="W16" s="288"/>
      <c r="CD16" s="191" t="s">
        <v>0</v>
      </c>
      <c r="CE16" s="191" t="s">
        <v>990</v>
      </c>
      <c r="CF16" s="191" t="s">
        <v>991</v>
      </c>
      <c r="CG16" s="191" t="s">
        <v>992</v>
      </c>
    </row>
    <row r="17" spans="1:85" s="375" customFormat="1" ht="12.75" customHeight="1" x14ac:dyDescent="0.3">
      <c r="A17" s="548"/>
      <c r="B17" s="523" t="s">
        <v>166</v>
      </c>
      <c r="C17" s="524">
        <f>GETPIVOTDATA("HH",'IDP location Analysis'!$B$9,"Township","Manton")</f>
        <v>98</v>
      </c>
      <c r="D17" s="525">
        <f>GETPIVOTDATA("Individuals",'IDP location Analysis'!$B$9,"Township","Manton")</f>
        <v>541</v>
      </c>
      <c r="E17" s="525">
        <f>'Shelter Gap Analysis'!H75+'Shelter Gap Analysis'!J75+'Shelter Gap Analysis'!K75</f>
        <v>24</v>
      </c>
      <c r="F17" s="526">
        <f>'Shelter Gap Analysis'!M75+'Shelter Gap Analysis'!O75+'Shelter Gap Analysis'!P75</f>
        <v>20</v>
      </c>
      <c r="G17" s="524">
        <f t="shared" si="0"/>
        <v>4</v>
      </c>
      <c r="H17" s="527">
        <f>IF(AND(E17=0,F17=0),"",IF((IFERROR(F17/E17,0))=0,"no coverage",F17/E17))</f>
        <v>0.83333333333333337</v>
      </c>
      <c r="I17" s="527"/>
      <c r="J17" s="338"/>
      <c r="K17" s="338"/>
      <c r="L17" s="339"/>
      <c r="M17" s="338"/>
      <c r="N17" s="338"/>
      <c r="O17" s="338"/>
      <c r="P17" s="549"/>
      <c r="Q17" s="288"/>
      <c r="R17" s="288"/>
      <c r="S17" s="288"/>
      <c r="T17" s="288"/>
      <c r="U17" s="288"/>
      <c r="V17" s="288"/>
      <c r="W17" s="288"/>
      <c r="CD17" s="375" t="str">
        <f>B10</f>
        <v>Bhamo</v>
      </c>
      <c r="CE17" s="337">
        <f>C10-Shelter_Draw[[#This Row],[V2]]-Shelter_Draw[[#This Row],[V3]]</f>
        <v>1479.4891041162227</v>
      </c>
      <c r="CF17" s="337">
        <f>J17</f>
        <v>0</v>
      </c>
      <c r="CG17" s="337">
        <f>H10-J17</f>
        <v>0.51089588377723971</v>
      </c>
    </row>
    <row r="18" spans="1:85" s="375" customFormat="1" ht="12.75" customHeight="1" x14ac:dyDescent="0.3">
      <c r="A18" s="548"/>
      <c r="B18" s="523" t="s">
        <v>173</v>
      </c>
      <c r="C18" s="524">
        <f>GETPIVOTDATA("HH",'IDP location Analysis'!$B$9,"Township","Mogaung")</f>
        <v>343</v>
      </c>
      <c r="D18" s="525">
        <f>GETPIVOTDATA("Individuals",'IDP location Analysis'!$B$9,"Township","Mogaung")</f>
        <v>1465</v>
      </c>
      <c r="E18" s="525">
        <f>'Shelter Gap Analysis'!H84+'Shelter Gap Analysis'!J84+'Shelter Gap Analysis'!K84</f>
        <v>307</v>
      </c>
      <c r="F18" s="526">
        <f>'Shelter Gap Analysis'!M84+'Shelter Gap Analysis'!O84+'Shelter Gap Analysis'!P84</f>
        <v>0</v>
      </c>
      <c r="G18" s="524">
        <f>E18-F18</f>
        <v>307</v>
      </c>
      <c r="H18" s="527" t="str">
        <f t="shared" si="1"/>
        <v>no coverage</v>
      </c>
      <c r="I18" s="527"/>
      <c r="J18" s="338"/>
      <c r="K18" s="338"/>
      <c r="L18" s="339"/>
      <c r="M18" s="338"/>
      <c r="N18" s="338"/>
      <c r="O18" s="338"/>
      <c r="P18" s="549"/>
      <c r="Q18" s="288"/>
      <c r="R18" s="288"/>
      <c r="S18" s="288"/>
      <c r="T18" s="288"/>
      <c r="U18" s="288"/>
      <c r="V18" s="288"/>
      <c r="W18" s="288"/>
      <c r="CD18" s="375" t="str">
        <f>B11</f>
        <v>Chipwi</v>
      </c>
      <c r="CE18" s="337">
        <f>C11-Shelter_Draw[[#This Row],[V2]]-Shelter_Draw[[#This Row],[V3]]</f>
        <v>496.62111801242236</v>
      </c>
      <c r="CF18" s="337">
        <f>J18</f>
        <v>0</v>
      </c>
      <c r="CG18" s="337">
        <f>H11-J18</f>
        <v>0.37888198757763975</v>
      </c>
    </row>
    <row r="19" spans="1:85" s="375" customFormat="1" ht="12.75" customHeight="1" x14ac:dyDescent="0.3">
      <c r="A19" s="548"/>
      <c r="B19" s="523" t="s">
        <v>180</v>
      </c>
      <c r="C19" s="524">
        <f>GETPIVOTDATA("HH",'IDP location Analysis'!$B$9,"Township","Mohnyin")</f>
        <v>76</v>
      </c>
      <c r="D19" s="525">
        <f>GETPIVOTDATA("Individuals",'IDP location Analysis'!$B$9,"Township","Mohnyin")</f>
        <v>354</v>
      </c>
      <c r="E19" s="525">
        <f>'Shelter Gap Analysis'!H87+'Shelter Gap Analysis'!J87+'Shelter Gap Analysis'!K87</f>
        <v>11</v>
      </c>
      <c r="F19" s="526">
        <f>'Shelter Gap Analysis'!M87+'Shelter Gap Analysis'!O87+'Shelter Gap Analysis'!P87</f>
        <v>11</v>
      </c>
      <c r="G19" s="524">
        <f t="shared" si="0"/>
        <v>0</v>
      </c>
      <c r="H19" s="527">
        <f t="shared" si="1"/>
        <v>1</v>
      </c>
      <c r="I19" s="527"/>
      <c r="J19" s="338"/>
      <c r="K19" s="338"/>
      <c r="L19" s="340"/>
      <c r="M19" s="338"/>
      <c r="N19" s="338"/>
      <c r="O19" s="338"/>
      <c r="P19" s="549"/>
      <c r="Q19" s="288"/>
      <c r="R19" s="288"/>
      <c r="S19" s="288"/>
      <c r="T19" s="288"/>
      <c r="U19" s="288"/>
      <c r="V19" s="288"/>
      <c r="W19" s="288"/>
      <c r="CD19" s="375" t="str">
        <f>B12</f>
        <v>Hpakant</v>
      </c>
      <c r="CE19" s="337">
        <f>C12-Shelter_Draw[[#This Row],[V2]]-Shelter_Draw[[#This Row],[V3]]</f>
        <v>705.77358490566041</v>
      </c>
      <c r="CF19" s="337">
        <f>J19</f>
        <v>0</v>
      </c>
      <c r="CG19" s="337">
        <f>H12-J19</f>
        <v>0.22641509433962265</v>
      </c>
    </row>
    <row r="20" spans="1:85" s="375" customFormat="1" ht="12.75" customHeight="1" x14ac:dyDescent="0.3">
      <c r="A20" s="548"/>
      <c r="B20" s="523" t="s">
        <v>185</v>
      </c>
      <c r="C20" s="524">
        <f>GETPIVOTDATA("HH",'IDP location Analysis'!$B$9,"Township","Momauk")</f>
        <v>4745</v>
      </c>
      <c r="D20" s="525">
        <f>GETPIVOTDATA("Individuals",'IDP location Analysis'!$B$9,"Township","Momauk")</f>
        <v>24925</v>
      </c>
      <c r="E20" s="525">
        <f>'Shelter Gap Analysis'!H100+'Shelter Gap Analysis'!J100+'Shelter Gap Analysis'!K100</f>
        <v>1329</v>
      </c>
      <c r="F20" s="526">
        <f>'Shelter Gap Analysis'!M100+'Shelter Gap Analysis'!O100+'Shelter Gap Analysis'!P100</f>
        <v>570</v>
      </c>
      <c r="G20" s="524">
        <f t="shared" si="0"/>
        <v>759</v>
      </c>
      <c r="H20" s="527">
        <f t="shared" si="1"/>
        <v>0.42889390519187359</v>
      </c>
      <c r="I20" s="527"/>
      <c r="J20" s="338"/>
      <c r="K20" s="338"/>
      <c r="L20" s="338"/>
      <c r="M20" s="338"/>
      <c r="N20" s="338"/>
      <c r="O20" s="338"/>
      <c r="P20" s="549"/>
      <c r="Q20" s="288"/>
      <c r="R20" s="288"/>
      <c r="S20" s="288"/>
      <c r="T20" s="288"/>
      <c r="U20" s="288"/>
      <c r="V20" s="288"/>
      <c r="W20" s="288"/>
      <c r="CD20" s="375" t="str">
        <f t="shared" ref="CD20:CD29" si="2">B15</f>
        <v>Kutkai</v>
      </c>
      <c r="CE20" s="337">
        <f>C15-Shelter_Draw[[#This Row],[V2]]-Shelter_Draw[[#This Row],[V3]]</f>
        <v>693</v>
      </c>
      <c r="CF20" s="337">
        <f t="shared" ref="CF20:CF26" si="3">H15</f>
        <v>0.45110410094637227</v>
      </c>
      <c r="CG20" s="337">
        <f t="shared" ref="CG20:CG26" si="4">G15-H15</f>
        <v>173.54889589905363</v>
      </c>
    </row>
    <row r="21" spans="1:85" s="375" customFormat="1" ht="12.6" customHeight="1" x14ac:dyDescent="0.3">
      <c r="A21" s="548"/>
      <c r="B21" s="523" t="s">
        <v>230</v>
      </c>
      <c r="C21" s="524">
        <f>GETPIVOTDATA(" HH",'IDP location Analysis'!$B$9,"Township","Muse")</f>
        <v>213</v>
      </c>
      <c r="D21" s="525">
        <f>GETPIVOTDATA("Individuals",'IDP location Analysis'!$B$9,"Township","Muse")</f>
        <v>1053</v>
      </c>
      <c r="E21" s="525">
        <f>'Shelter Gap Analysis'!H104+'Shelter Gap Analysis'!J104+'Shelter Gap Analysis'!K104</f>
        <v>88</v>
      </c>
      <c r="F21" s="526">
        <f>'Shelter Gap Analysis'!M104+'Shelter Gap Analysis'!O104+'Shelter Gap Analysis'!P104</f>
        <v>10</v>
      </c>
      <c r="G21" s="524">
        <f t="shared" si="0"/>
        <v>78</v>
      </c>
      <c r="H21" s="527">
        <f>IF(AND(E21=0,F21=0),"",IF((IFERROR(F21/E21,0))=0,"no coverage",F21/E21))</f>
        <v>0.11363636363636363</v>
      </c>
      <c r="I21" s="527"/>
      <c r="J21" s="338"/>
      <c r="K21" s="338"/>
      <c r="L21" s="338"/>
      <c r="M21" s="338"/>
      <c r="N21" s="338"/>
      <c r="O21" s="338"/>
      <c r="P21" s="549"/>
      <c r="Q21" s="288"/>
      <c r="R21" s="288"/>
      <c r="S21" s="288"/>
      <c r="T21" s="288"/>
      <c r="U21" s="288"/>
      <c r="V21" s="288"/>
      <c r="W21" s="288"/>
      <c r="CD21" s="375" t="str">
        <f t="shared" si="2"/>
        <v>Mansi</v>
      </c>
      <c r="CE21" s="337">
        <f>C16-Shelter_Draw[[#This Row],[V2]]-Shelter_Draw[[#This Row],[V3]]</f>
        <v>2599</v>
      </c>
      <c r="CF21" s="337">
        <f t="shared" si="3"/>
        <v>0.67989056087551303</v>
      </c>
      <c r="CG21" s="337">
        <f t="shared" si="4"/>
        <v>233.32010943912448</v>
      </c>
    </row>
    <row r="22" spans="1:85" s="375" customFormat="1" ht="12.6" customHeight="1" x14ac:dyDescent="0.3">
      <c r="A22" s="548"/>
      <c r="B22" s="523" t="s">
        <v>237</v>
      </c>
      <c r="C22" s="524">
        <f>GETPIVOTDATA("HH",'IDP location Analysis'!$B$9,"Township","Myitkyina")</f>
        <v>2255</v>
      </c>
      <c r="D22" s="525">
        <f>GETPIVOTDATA("Individuals",'IDP location Analysis'!$B$9,"Township","Myitkyina")</f>
        <v>11250</v>
      </c>
      <c r="E22" s="525">
        <f>'Shelter Gap Analysis'!H129+'Shelter Gap Analysis'!J129+'Shelter Gap Analysis'!K129</f>
        <v>902</v>
      </c>
      <c r="F22" s="526">
        <f>'Shelter Gap Analysis'!M129+'Shelter Gap Analysis'!P129+'Shelter Gap Analysis'!O129</f>
        <v>258</v>
      </c>
      <c r="G22" s="524">
        <f>E22-F22</f>
        <v>644</v>
      </c>
      <c r="H22" s="527">
        <f>IF(AND(E22=0,F22=0),"",IF((IFERROR(F22/E22,0))=0,"no coverage",F22/E22))</f>
        <v>0.28603104212860309</v>
      </c>
      <c r="I22" s="527"/>
      <c r="J22" s="338"/>
      <c r="K22" s="338"/>
      <c r="L22" s="338"/>
      <c r="M22" s="338"/>
      <c r="N22" s="338"/>
      <c r="O22" s="338"/>
      <c r="P22" s="549"/>
      <c r="Q22" s="288"/>
      <c r="R22" s="288"/>
      <c r="S22" s="288"/>
      <c r="T22" s="288"/>
      <c r="U22" s="288"/>
      <c r="V22" s="288"/>
      <c r="W22" s="288"/>
      <c r="CD22" s="375" t="str">
        <f t="shared" si="2"/>
        <v>Manton</v>
      </c>
      <c r="CE22" s="337">
        <f>C17-Shelter_Draw[[#This Row],[V2]]-Shelter_Draw[[#This Row],[V3]]</f>
        <v>94</v>
      </c>
      <c r="CF22" s="337">
        <f t="shared" si="3"/>
        <v>0.83333333333333337</v>
      </c>
      <c r="CG22" s="337">
        <f t="shared" si="4"/>
        <v>3.1666666666666665</v>
      </c>
    </row>
    <row r="23" spans="1:85" s="375" customFormat="1" ht="14.25" customHeight="1" x14ac:dyDescent="0.3">
      <c r="A23" s="548"/>
      <c r="B23" s="523" t="s">
        <v>1380</v>
      </c>
      <c r="C23" s="524">
        <f>GETPIVOTDATA("HH",'IDP location Analysis'!$B$9,"Township","Namhkan")</f>
        <v>410</v>
      </c>
      <c r="D23" s="525">
        <f>GETPIVOTDATA("Individuals",'IDP location Analysis'!$B$9,"Township","Namhkan")</f>
        <v>1977</v>
      </c>
      <c r="E23" s="525">
        <f>'Shelter Gap Analysis'!H136+'Shelter Gap Analysis'!J136+'Shelter Gap Analysis'!K136</f>
        <v>253</v>
      </c>
      <c r="F23" s="526">
        <f>'Shelter Gap Analysis'!M136+'Shelter Gap Analysis'!O136+'Shelter Gap Analysis'!P136</f>
        <v>40</v>
      </c>
      <c r="G23" s="524">
        <f t="shared" si="0"/>
        <v>213</v>
      </c>
      <c r="H23" s="527">
        <f t="shared" si="1"/>
        <v>0.15810276679841898</v>
      </c>
      <c r="I23" s="527"/>
      <c r="J23" s="338"/>
      <c r="K23" s="338"/>
      <c r="L23" s="338"/>
      <c r="M23" s="338"/>
      <c r="N23" s="338"/>
      <c r="O23" s="338"/>
      <c r="P23" s="549"/>
      <c r="Q23" s="288"/>
      <c r="R23" s="288"/>
      <c r="S23" s="288"/>
      <c r="T23" s="288"/>
      <c r="U23" s="288"/>
      <c r="V23" s="288"/>
      <c r="W23" s="288"/>
      <c r="CD23" s="375" t="str">
        <f t="shared" si="2"/>
        <v>Mogaung</v>
      </c>
      <c r="CE23" s="337" t="e">
        <f>C18-Shelter_Draw[[#This Row],[V2]]-Shelter_Draw[[#This Row],[V3]]</f>
        <v>#VALUE!</v>
      </c>
      <c r="CF23" s="337" t="str">
        <f t="shared" si="3"/>
        <v>no coverage</v>
      </c>
      <c r="CG23" s="337" t="e">
        <f t="shared" si="4"/>
        <v>#VALUE!</v>
      </c>
    </row>
    <row r="24" spans="1:85" s="375" customFormat="1" ht="15.75" customHeight="1" x14ac:dyDescent="0.3">
      <c r="A24" s="548"/>
      <c r="B24" s="523" t="s">
        <v>297</v>
      </c>
      <c r="C24" s="524">
        <f>GETPIVOTDATA("HH",'IDP location Analysis'!$B$9,"Township","Namtu")</f>
        <v>162</v>
      </c>
      <c r="D24" s="525">
        <f>GETPIVOTDATA("Individuals",'IDP location Analysis'!$B$9,"Township","Namtu")</f>
        <v>757</v>
      </c>
      <c r="E24" s="525">
        <f>'Shelter Gap Analysis'!H141+'Shelter Gap Analysis'!J141+'Shelter Gap Analysis'!K141</f>
        <v>149</v>
      </c>
      <c r="F24" s="526">
        <f>'Shelter Gap Analysis'!M141+'Shelter Gap Analysis'!O141+'Shelter Gap Analysis'!P141</f>
        <v>142</v>
      </c>
      <c r="G24" s="524">
        <f t="shared" si="0"/>
        <v>7</v>
      </c>
      <c r="H24" s="527">
        <f t="shared" si="1"/>
        <v>0.95302013422818788</v>
      </c>
      <c r="I24" s="527"/>
      <c r="J24" s="338"/>
      <c r="K24" s="338"/>
      <c r="L24" s="338"/>
      <c r="M24" s="338"/>
      <c r="N24" s="338"/>
      <c r="O24" s="338"/>
      <c r="P24" s="549"/>
      <c r="R24" s="288"/>
      <c r="S24" s="288"/>
      <c r="T24" s="288"/>
      <c r="U24" s="288"/>
      <c r="V24" s="288"/>
      <c r="W24" s="288"/>
      <c r="CD24" s="375" t="str">
        <f t="shared" si="2"/>
        <v>Mohnyin</v>
      </c>
      <c r="CE24" s="337">
        <f>C19-Shelter_Draw[[#This Row],[V2]]-Shelter_Draw[[#This Row],[V3]]</f>
        <v>76</v>
      </c>
      <c r="CF24" s="337">
        <f t="shared" si="3"/>
        <v>1</v>
      </c>
      <c r="CG24" s="337">
        <f t="shared" si="4"/>
        <v>-1</v>
      </c>
    </row>
    <row r="25" spans="1:85" s="375" customFormat="1" ht="12.6" customHeight="1" x14ac:dyDescent="0.3">
      <c r="A25" s="548"/>
      <c r="B25" s="714" t="s">
        <v>299</v>
      </c>
      <c r="C25" s="524">
        <f>GETPIVOTDATA("HH",'IDP location Analysis'!$B$9,"Township","Puta-O")</f>
        <v>85</v>
      </c>
      <c r="D25" s="525">
        <f>GETPIVOTDATA("Individuals",'IDP location Analysis'!$B$9,"Township","Puta-O")</f>
        <v>412</v>
      </c>
      <c r="E25" s="525">
        <f>'Shelter Gap Analysis'!H144+'Shelter Gap Analysis'!J144+'Shelter Gap Analysis'!K144</f>
        <v>30</v>
      </c>
      <c r="F25" s="526">
        <f>'Shelter Gap Analysis'!M144+'Shelter Gap Analysis'!O144+'Shelter Gap Analysis'!P144</f>
        <v>0</v>
      </c>
      <c r="G25" s="524">
        <f t="shared" si="0"/>
        <v>30</v>
      </c>
      <c r="H25" s="527" t="str">
        <f t="shared" si="1"/>
        <v>no coverage</v>
      </c>
      <c r="I25" s="527"/>
      <c r="J25" s="338"/>
      <c r="K25" s="338"/>
      <c r="L25" s="338"/>
      <c r="M25" s="338"/>
      <c r="N25" s="338"/>
      <c r="O25" s="338"/>
      <c r="P25" s="549"/>
      <c r="R25" s="288"/>
      <c r="S25" s="288"/>
      <c r="T25" s="288"/>
      <c r="U25" s="288"/>
      <c r="V25" s="288"/>
      <c r="W25" s="288"/>
      <c r="CD25" s="375" t="str">
        <f t="shared" si="2"/>
        <v>Momauk</v>
      </c>
      <c r="CE25" s="337">
        <f>C20-Shelter_Draw[[#This Row],[V2]]-Shelter_Draw[[#This Row],[V3]]</f>
        <v>3986</v>
      </c>
      <c r="CF25" s="337">
        <f t="shared" si="3"/>
        <v>0.42889390519187359</v>
      </c>
      <c r="CG25" s="337">
        <f t="shared" si="4"/>
        <v>758.5711060948081</v>
      </c>
    </row>
    <row r="26" spans="1:85" s="375" customFormat="1" ht="12.75" customHeight="1" x14ac:dyDescent="0.3">
      <c r="A26" s="548"/>
      <c r="B26" s="714" t="s">
        <v>1363</v>
      </c>
      <c r="C26" s="524">
        <f>GETPIVOTDATA("HH",'IDP location Analysis'!$B$9,"Township","Shwegu")</f>
        <v>134</v>
      </c>
      <c r="D26" s="525">
        <f>GETPIVOTDATA("Individuals",'IDP location Analysis'!$B$9,"Township","Shwegu")</f>
        <v>529</v>
      </c>
      <c r="E26" s="525">
        <f>'Shelter Gap Analysis'!H147+'Shelter Gap Analysis'!J147+'Shelter Gap Analysis'!K147</f>
        <v>50</v>
      </c>
      <c r="F26" s="526">
        <f>'Shelter Gap Analysis'!M147+'Shelter Gap Analysis'!O147+'Shelter Gap Analysis'!P147</f>
        <v>0</v>
      </c>
      <c r="G26" s="524">
        <f t="shared" si="0"/>
        <v>50</v>
      </c>
      <c r="H26" s="527" t="str">
        <f t="shared" si="1"/>
        <v>no coverage</v>
      </c>
      <c r="I26" s="527"/>
      <c r="J26" s="338"/>
      <c r="K26" s="338"/>
      <c r="L26" s="338"/>
      <c r="M26" s="338"/>
      <c r="N26" s="338"/>
      <c r="O26" s="338"/>
      <c r="P26" s="549"/>
      <c r="Q26" s="288"/>
      <c r="R26" s="288"/>
      <c r="S26" s="288"/>
      <c r="T26" s="288"/>
      <c r="U26" s="288"/>
      <c r="V26" s="288"/>
      <c r="W26" s="288"/>
      <c r="CD26" s="375" t="str">
        <f t="shared" si="2"/>
        <v>Muse</v>
      </c>
      <c r="CE26" s="337">
        <f>C21-Shelter_Draw[[#This Row],[V2]]-Shelter_Draw[[#This Row],[V3]]</f>
        <v>135</v>
      </c>
      <c r="CF26" s="337">
        <f t="shared" si="3"/>
        <v>0.11363636363636363</v>
      </c>
      <c r="CG26" s="337">
        <f t="shared" si="4"/>
        <v>77.88636363636364</v>
      </c>
    </row>
    <row r="27" spans="1:85" s="375" customFormat="1" ht="12.75" customHeight="1" x14ac:dyDescent="0.3">
      <c r="A27" s="548"/>
      <c r="B27" s="714" t="s">
        <v>1364</v>
      </c>
      <c r="C27" s="524">
        <f>GETPIVOTDATA("HH",'IDP location Analysis'!$B$9,"Township","Sumprabum")</f>
        <v>198</v>
      </c>
      <c r="D27" s="525">
        <f>GETPIVOTDATA("Individuals",'IDP location Analysis'!$B$9,"Township","Sumprabum")</f>
        <v>1143</v>
      </c>
      <c r="E27" s="525">
        <f>'Shelter Gap Analysis'!H150+'Shelter Gap Analysis'!J150+'Shelter Gap Analysis'!K150</f>
        <v>193</v>
      </c>
      <c r="F27" s="526">
        <f>'Shelter Gap Analysis'!M150+'Shelter Gap Analysis'!O150+'Shelter Gap Analysis'!P150</f>
        <v>0</v>
      </c>
      <c r="G27" s="524">
        <f t="shared" si="0"/>
        <v>193</v>
      </c>
      <c r="H27" s="527" t="str">
        <f>IF(AND(E27=0,F27=0),"",IF((IFERROR(F27/E27,0))=0,"no coverage",F27/E27))</f>
        <v>no coverage</v>
      </c>
      <c r="I27" s="527"/>
      <c r="J27" s="338"/>
      <c r="K27" s="338"/>
      <c r="L27" s="338"/>
      <c r="M27" s="338"/>
      <c r="N27" s="338"/>
      <c r="O27" s="338"/>
      <c r="P27" s="549"/>
      <c r="Q27" s="288"/>
      <c r="R27" s="555"/>
      <c r="S27" s="288"/>
      <c r="T27" s="288"/>
      <c r="U27" s="288"/>
      <c r="V27" s="288"/>
      <c r="W27" s="288"/>
      <c r="CD27" s="375" t="str">
        <f t="shared" si="2"/>
        <v>Myitkyina</v>
      </c>
      <c r="CE27" s="337">
        <f>C22-Shelter_Draw[[#This Row],[V2]]-Shelter_Draw[[#This Row],[V3]]</f>
        <v>2254.7139689578712</v>
      </c>
      <c r="CF27" s="337">
        <f t="shared" ref="CF27:CF32" si="5">J29</f>
        <v>0</v>
      </c>
      <c r="CG27" s="337">
        <f>H22-J29</f>
        <v>0.28603104212860309</v>
      </c>
    </row>
    <row r="28" spans="1:85" s="375" customFormat="1" ht="12.75" customHeight="1" x14ac:dyDescent="0.3">
      <c r="A28" s="548"/>
      <c r="B28" s="714" t="s">
        <v>1137</v>
      </c>
      <c r="C28" s="524">
        <f>GETPIVOTDATA("HH",'IDP location Analysis'!$B$9,"Township","Tanai")</f>
        <v>235</v>
      </c>
      <c r="D28" s="525">
        <f>GETPIVOTDATA("Individuals",'IDP location Analysis'!$B$9,"Township","Tanai")</f>
        <v>915</v>
      </c>
      <c r="E28" s="525"/>
      <c r="F28" s="526"/>
      <c r="G28" s="524">
        <f>E28-F28</f>
        <v>0</v>
      </c>
      <c r="H28" s="527" t="str">
        <f>IF(AND(E28=0,F28=0),"",IF((IFERROR(F28/E28,0))=0,"no coverage",F28/E28))</f>
        <v/>
      </c>
      <c r="I28" s="527"/>
      <c r="J28" s="338"/>
      <c r="K28" s="338"/>
      <c r="L28" s="338"/>
      <c r="M28" s="338"/>
      <c r="N28" s="338"/>
      <c r="O28" s="338"/>
      <c r="P28" s="549"/>
      <c r="Q28" s="288"/>
      <c r="R28" s="288"/>
      <c r="S28" s="555"/>
      <c r="T28" s="288"/>
      <c r="U28" s="288"/>
      <c r="V28" s="288"/>
      <c r="W28" s="288"/>
      <c r="CD28" s="375" t="str">
        <f t="shared" si="2"/>
        <v>Nam Kham</v>
      </c>
      <c r="CE28" s="337" t="e">
        <f>C23-Shelter_Draw[[#This Row],[V2]]-Shelter_Draw[[#This Row],[V3]]</f>
        <v>#REF!</v>
      </c>
      <c r="CF28" s="337" t="e">
        <f>#REF!</f>
        <v>#REF!</v>
      </c>
      <c r="CG28" s="337" t="e">
        <f>H23-#REF!</f>
        <v>#REF!</v>
      </c>
    </row>
    <row r="29" spans="1:85" s="375" customFormat="1" ht="12.75" customHeight="1" x14ac:dyDescent="0.3">
      <c r="A29" s="548"/>
      <c r="B29" s="523" t="s">
        <v>309</v>
      </c>
      <c r="C29" s="524">
        <f>GETPIVOTDATA("HH",'IDP location Analysis'!$B$9,"Township","Waingmaw")</f>
        <v>4869</v>
      </c>
      <c r="D29" s="525">
        <f>GETPIVOTDATA("Individuals",'IDP location Analysis'!$B$9,"Township","Waingmaw")</f>
        <v>25288</v>
      </c>
      <c r="E29" s="525">
        <f>'Shelter Gap Analysis'!H172+'Shelter Gap Analysis'!J172+'Shelter Gap Analysis'!K172</f>
        <v>1630</v>
      </c>
      <c r="F29" s="526">
        <f>'Shelter Gap Analysis'!M172+'Shelter Gap Analysis'!O172+'Shelter Gap Analysis'!P172</f>
        <v>208</v>
      </c>
      <c r="G29" s="524">
        <f>E29-F29</f>
        <v>1422</v>
      </c>
      <c r="H29" s="527">
        <f>IF(AND(E29=0,F29=0),"",IF((IFERROR(F29/E29,0))=0,"no coverage",F29/E29))</f>
        <v>0.1276073619631902</v>
      </c>
      <c r="I29" s="527"/>
      <c r="J29" s="338"/>
      <c r="K29" s="338"/>
      <c r="L29" s="338"/>
      <c r="M29" s="338"/>
      <c r="N29" s="338"/>
      <c r="O29" s="338"/>
      <c r="P29" s="549"/>
      <c r="Q29" s="288"/>
      <c r="R29" s="288"/>
      <c r="S29" s="288"/>
      <c r="T29" s="288"/>
      <c r="U29" s="288"/>
      <c r="V29" s="288"/>
      <c r="W29" s="288"/>
      <c r="CD29" s="375" t="str">
        <f t="shared" si="2"/>
        <v>Namtu</v>
      </c>
      <c r="CE29" s="337">
        <f>C24-Shelter_Draw[[#This Row],[V2]]-Shelter_Draw[[#This Row],[V3]]</f>
        <v>161.04697986577182</v>
      </c>
      <c r="CF29" s="337">
        <f>J31</f>
        <v>0</v>
      </c>
      <c r="CG29" s="337">
        <f>H24-J31</f>
        <v>0.95302013422818788</v>
      </c>
    </row>
    <row r="30" spans="1:85" s="375" customFormat="1" ht="12.75" customHeight="1" x14ac:dyDescent="0.3">
      <c r="A30" s="548"/>
      <c r="B30" s="530" t="s">
        <v>3</v>
      </c>
      <c r="C30" s="531">
        <f>SUM(C10:C29)</f>
        <v>20342</v>
      </c>
      <c r="D30" s="532">
        <f>SUM(D10:D29)</f>
        <v>103236</v>
      </c>
      <c r="E30" s="532">
        <f>SUM(E10:E29)</f>
        <v>6913</v>
      </c>
      <c r="F30" s="533">
        <f>SUM(F10:F29)</f>
        <v>2243</v>
      </c>
      <c r="G30" s="531">
        <f>SUM(G10:G29)</f>
        <v>4670</v>
      </c>
      <c r="H30" s="534">
        <f>IF(AND(E30=0,F30=0),"",IF((IFERROR(F30/E30,0))=0,"no coverage",F30/E30))</f>
        <v>0.32446116013308257</v>
      </c>
      <c r="I30" s="534"/>
      <c r="J30" s="338"/>
      <c r="K30" s="338"/>
      <c r="L30" s="338"/>
      <c r="M30" s="338"/>
      <c r="N30" s="338"/>
      <c r="O30" s="338"/>
      <c r="P30" s="549"/>
      <c r="Q30" s="288"/>
      <c r="R30" s="288"/>
      <c r="S30" s="288"/>
      <c r="T30" s="288"/>
      <c r="U30" s="288"/>
      <c r="V30" s="288"/>
      <c r="W30" s="288"/>
      <c r="CD30" s="375" t="str">
        <f>B23</f>
        <v>Nam Kham</v>
      </c>
      <c r="CE30" s="337">
        <f>C23-Shelter_Draw[[#This Row],[V2]]-Shelter_Draw[[#This Row],[V3]]</f>
        <v>196.99999999999997</v>
      </c>
      <c r="CF30" s="337">
        <f>H23</f>
        <v>0.15810276679841898</v>
      </c>
      <c r="CG30" s="337">
        <f>G23-H23</f>
        <v>212.84189723320159</v>
      </c>
    </row>
    <row r="31" spans="1:85" s="375" customFormat="1" ht="15" customHeight="1" thickBot="1" x14ac:dyDescent="0.35">
      <c r="A31" s="548"/>
      <c r="B31" s="378" t="s">
        <v>1384</v>
      </c>
      <c r="C31" s="191"/>
      <c r="D31" s="191"/>
      <c r="E31" s="191"/>
      <c r="F31" s="191"/>
      <c r="G31" s="191"/>
      <c r="H31" s="204"/>
      <c r="I31" s="204"/>
      <c r="J31" s="338"/>
      <c r="K31" s="338"/>
      <c r="L31" s="338"/>
      <c r="M31" s="338"/>
      <c r="N31" s="338"/>
      <c r="O31" s="338"/>
      <c r="P31" s="549"/>
      <c r="Q31" s="288"/>
      <c r="R31" s="288"/>
      <c r="S31" s="288"/>
      <c r="T31" s="288"/>
      <c r="U31" s="288"/>
      <c r="V31" s="288"/>
      <c r="W31" s="288"/>
      <c r="CD31" s="375" t="str">
        <f>B26</f>
        <v>Shwe Gu</v>
      </c>
      <c r="CE31" s="337" t="e">
        <f>C26-Shelter_Draw[[#This Row],[V2]]-Shelter_Draw[[#This Row],[V3]]</f>
        <v>#VALUE!</v>
      </c>
      <c r="CF31" s="337">
        <f t="shared" si="5"/>
        <v>0</v>
      </c>
      <c r="CG31" s="337" t="e">
        <f>H26-J33</f>
        <v>#VALUE!</v>
      </c>
    </row>
    <row r="32" spans="1:85" s="375" customFormat="1" ht="12.6" customHeight="1" x14ac:dyDescent="0.3">
      <c r="A32" s="548"/>
      <c r="B32" s="784" t="s">
        <v>1838</v>
      </c>
      <c r="C32" s="785"/>
      <c r="D32" s="785"/>
      <c r="E32" s="785"/>
      <c r="F32" s="785"/>
      <c r="G32" s="785"/>
      <c r="H32" s="786"/>
      <c r="I32" s="538"/>
      <c r="J32" s="338"/>
      <c r="K32" s="338"/>
      <c r="L32" s="338"/>
      <c r="M32" s="338"/>
      <c r="N32" s="338"/>
      <c r="O32" s="338"/>
      <c r="P32" s="549"/>
      <c r="Q32" s="288"/>
      <c r="R32" s="288"/>
      <c r="S32" s="288"/>
      <c r="T32" s="288"/>
      <c r="U32" s="288"/>
      <c r="V32" s="288"/>
      <c r="W32" s="288"/>
      <c r="CD32" s="375" t="str">
        <f>B27</f>
        <v>Sumbrabum</v>
      </c>
      <c r="CE32" s="337" t="e">
        <f>C27-Shelter_Draw[[#This Row],[V2]]-Shelter_Draw[[#This Row],[V3]]</f>
        <v>#VALUE!</v>
      </c>
      <c r="CF32" s="337">
        <f t="shared" si="5"/>
        <v>0</v>
      </c>
      <c r="CG32" s="337" t="e">
        <f>H27-J34</f>
        <v>#VALUE!</v>
      </c>
    </row>
    <row r="33" spans="1:23" s="375" customFormat="1" ht="12.75" customHeight="1" thickBot="1" x14ac:dyDescent="0.35">
      <c r="A33" s="548"/>
      <c r="B33" s="787"/>
      <c r="C33" s="788"/>
      <c r="D33" s="788"/>
      <c r="E33" s="788"/>
      <c r="F33" s="788"/>
      <c r="G33" s="788"/>
      <c r="H33" s="789"/>
      <c r="I33" s="538"/>
      <c r="J33" s="338"/>
      <c r="K33" s="338"/>
      <c r="L33" s="338"/>
      <c r="M33" s="338"/>
      <c r="N33" s="338"/>
      <c r="O33" s="338"/>
      <c r="P33" s="549"/>
      <c r="Q33" s="288"/>
      <c r="R33" s="288"/>
      <c r="S33" s="288"/>
      <c r="T33" s="288"/>
      <c r="U33" s="288"/>
      <c r="V33" s="288"/>
      <c r="W33" s="288"/>
    </row>
    <row r="34" spans="1:23" s="375" customFormat="1" ht="12.75" customHeight="1" x14ac:dyDescent="0.3">
      <c r="A34" s="548"/>
      <c r="B34" s="770" t="s">
        <v>1304</v>
      </c>
      <c r="C34" s="771"/>
      <c r="D34" s="771"/>
      <c r="E34" s="771"/>
      <c r="F34" s="771"/>
      <c r="G34" s="771"/>
      <c r="H34" s="772"/>
      <c r="I34" s="539"/>
      <c r="J34" s="338"/>
      <c r="K34" s="338"/>
      <c r="L34" s="338"/>
      <c r="M34" s="338"/>
      <c r="N34" s="338"/>
      <c r="O34" s="338"/>
      <c r="P34" s="549"/>
      <c r="Q34" s="288"/>
      <c r="R34" s="288"/>
      <c r="S34" s="288"/>
      <c r="T34" s="288"/>
      <c r="U34" s="288"/>
      <c r="V34" s="288"/>
      <c r="W34" s="288"/>
    </row>
    <row r="35" spans="1:23" s="375" customFormat="1" ht="12" customHeight="1" x14ac:dyDescent="0.3">
      <c r="A35" s="548"/>
      <c r="B35" s="773" t="s">
        <v>420</v>
      </c>
      <c r="C35" s="774"/>
      <c r="D35" s="774" t="s">
        <v>1264</v>
      </c>
      <c r="E35" s="774"/>
      <c r="F35" s="774"/>
      <c r="G35" s="774" t="s">
        <v>1835</v>
      </c>
      <c r="H35" s="780"/>
      <c r="I35" s="477"/>
      <c r="J35" s="338"/>
      <c r="K35" s="338"/>
      <c r="L35" s="338"/>
      <c r="M35" s="338"/>
      <c r="N35" s="338"/>
      <c r="O35" s="338"/>
      <c r="P35" s="549"/>
      <c r="Q35" s="288"/>
      <c r="R35" s="288"/>
      <c r="S35" s="288"/>
      <c r="T35" s="288"/>
      <c r="U35" s="288"/>
      <c r="V35" s="288"/>
      <c r="W35" s="288"/>
    </row>
    <row r="36" spans="1:23" ht="12" customHeight="1" x14ac:dyDescent="0.3">
      <c r="A36" s="547"/>
      <c r="B36" s="773" t="s">
        <v>1583</v>
      </c>
      <c r="C36" s="774"/>
      <c r="D36" s="774" t="s">
        <v>778</v>
      </c>
      <c r="E36" s="774"/>
      <c r="F36" s="774"/>
      <c r="G36" s="774" t="s">
        <v>1837</v>
      </c>
      <c r="H36" s="780"/>
      <c r="J36" s="204"/>
      <c r="K36" s="204"/>
      <c r="L36" s="204"/>
      <c r="M36" s="204"/>
      <c r="N36" s="204"/>
      <c r="O36" s="204"/>
      <c r="P36" s="459"/>
      <c r="W36" s="288"/>
    </row>
    <row r="37" spans="1:23" ht="12" customHeight="1" x14ac:dyDescent="0.3">
      <c r="A37" s="547"/>
      <c r="B37" s="773" t="s">
        <v>424</v>
      </c>
      <c r="C37" s="774"/>
      <c r="D37" s="774" t="s">
        <v>1474</v>
      </c>
      <c r="E37" s="774"/>
      <c r="F37" s="774"/>
      <c r="G37" s="774" t="s">
        <v>462</v>
      </c>
      <c r="H37" s="780"/>
      <c r="I37" s="477"/>
      <c r="J37" s="204"/>
      <c r="K37" s="204"/>
      <c r="L37" s="204"/>
      <c r="M37" s="204"/>
      <c r="N37" s="204"/>
      <c r="O37" s="204"/>
      <c r="P37" s="542"/>
    </row>
    <row r="38" spans="1:23" ht="12" customHeight="1" thickBot="1" x14ac:dyDescent="0.35">
      <c r="A38" s="547"/>
      <c r="B38" s="775"/>
      <c r="C38" s="776"/>
      <c r="D38" s="777"/>
      <c r="E38" s="778"/>
      <c r="F38" s="779"/>
      <c r="G38" s="777"/>
      <c r="H38" s="781"/>
      <c r="J38" s="204"/>
      <c r="K38" s="204"/>
      <c r="L38" s="204"/>
      <c r="M38" s="204"/>
      <c r="N38" s="204"/>
      <c r="O38" s="204"/>
      <c r="P38" s="542"/>
    </row>
    <row r="39" spans="1:23" ht="12.75" customHeight="1" x14ac:dyDescent="0.3">
      <c r="A39" s="547"/>
      <c r="B39" s="769"/>
      <c r="C39" s="769"/>
      <c r="D39" s="769"/>
      <c r="E39" s="769"/>
      <c r="F39" s="769"/>
      <c r="G39" s="769"/>
      <c r="H39" s="769"/>
      <c r="J39" s="204"/>
      <c r="K39" s="204"/>
      <c r="L39" s="204"/>
      <c r="M39" s="204"/>
      <c r="N39" s="204"/>
      <c r="O39" s="204"/>
      <c r="P39" s="542"/>
    </row>
    <row r="40" spans="1:23" ht="12.75" customHeight="1" x14ac:dyDescent="0.3">
      <c r="A40" s="547"/>
      <c r="B40" s="769"/>
      <c r="C40" s="769"/>
      <c r="D40" s="769"/>
      <c r="E40" s="769"/>
      <c r="F40" s="769"/>
      <c r="G40" s="769"/>
      <c r="H40" s="769"/>
      <c r="J40" s="204"/>
      <c r="K40" s="204"/>
      <c r="L40" s="204"/>
      <c r="M40" s="204"/>
      <c r="N40" s="204"/>
      <c r="O40" s="204"/>
      <c r="P40" s="542"/>
    </row>
    <row r="41" spans="1:23" ht="12.75" customHeight="1" x14ac:dyDescent="0.3">
      <c r="A41" s="547"/>
      <c r="J41" s="204"/>
      <c r="K41" s="204"/>
      <c r="L41" s="204"/>
      <c r="M41" s="204"/>
      <c r="N41" s="204"/>
      <c r="O41" s="204"/>
      <c r="P41" s="542"/>
    </row>
    <row r="42" spans="1:23" ht="46.5" customHeight="1" x14ac:dyDescent="0.3">
      <c r="B42" s="551"/>
      <c r="C42" s="552"/>
      <c r="D42" s="552"/>
      <c r="E42" s="552"/>
      <c r="F42" s="552"/>
      <c r="G42" s="552"/>
      <c r="H42" s="552"/>
      <c r="I42" s="552"/>
      <c r="J42" s="552"/>
      <c r="K42" s="552"/>
      <c r="L42" s="552"/>
      <c r="M42" s="552"/>
      <c r="N42" s="552"/>
      <c r="O42" s="553"/>
      <c r="P42" s="542"/>
    </row>
    <row r="43" spans="1:23" ht="10.5" customHeight="1" thickBot="1" x14ac:dyDescent="0.35">
      <c r="A43" s="536"/>
      <c r="B43" s="537"/>
      <c r="C43" s="537"/>
      <c r="D43" s="537"/>
      <c r="E43" s="537"/>
      <c r="F43" s="537"/>
      <c r="G43" s="537"/>
      <c r="H43" s="537"/>
      <c r="I43" s="537"/>
      <c r="J43" s="537"/>
      <c r="K43" s="537"/>
      <c r="L43" s="537"/>
      <c r="M43" s="537"/>
      <c r="N43" s="537"/>
      <c r="O43" s="537"/>
      <c r="P43" s="550"/>
    </row>
    <row r="44" spans="1:23" ht="18" customHeight="1" x14ac:dyDescent="0.3"/>
    <row r="45" spans="1:23" ht="30.75" customHeight="1" x14ac:dyDescent="0.3"/>
  </sheetData>
  <dataConsolidate link="1"/>
  <mergeCells count="20">
    <mergeCell ref="G38:H38"/>
    <mergeCell ref="B3:J3"/>
    <mergeCell ref="B32:H33"/>
    <mergeCell ref="B2:K2"/>
    <mergeCell ref="B40:E40"/>
    <mergeCell ref="B39:E39"/>
    <mergeCell ref="B34:H34"/>
    <mergeCell ref="F39:H39"/>
    <mergeCell ref="F40:H40"/>
    <mergeCell ref="B35:C35"/>
    <mergeCell ref="B36:C36"/>
    <mergeCell ref="B37:C37"/>
    <mergeCell ref="B38:C38"/>
    <mergeCell ref="D35:F35"/>
    <mergeCell ref="D36:F36"/>
    <mergeCell ref="D37:F37"/>
    <mergeCell ref="D38:F38"/>
    <mergeCell ref="G35:H35"/>
    <mergeCell ref="G36:H36"/>
    <mergeCell ref="G37:H37"/>
  </mergeCells>
  <conditionalFormatting sqref="H29:I30 H13:I27 H28 H10:H12 I5:I12">
    <cfRule type="containsText" dxfId="566" priority="2" operator="containsText" text="no coverage">
      <formula>NOT(ISERROR(SEARCH("no coverage",H5)))</formula>
    </cfRule>
  </conditionalFormatting>
  <conditionalFormatting sqref="I28">
    <cfRule type="containsText" dxfId="565"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Q41"/>
  <sheetViews>
    <sheetView showGridLines="0" workbookViewId="0">
      <pane ySplit="3" topLeftCell="A4" activePane="bottomLeft" state="frozen"/>
      <selection pane="bottomLeft" activeCell="F18" sqref="F18"/>
    </sheetView>
  </sheetViews>
  <sheetFormatPr defaultColWidth="5" defaultRowHeight="51.75" customHeight="1" x14ac:dyDescent="0.3"/>
  <cols>
    <col min="1" max="1" width="1.6640625" style="184" customWidth="1"/>
    <col min="2" max="6" width="12.33203125" style="184" customWidth="1"/>
    <col min="7" max="49" width="5.44140625" style="184" customWidth="1"/>
    <col min="50" max="50" width="8.5546875" style="184" bestFit="1" customWidth="1"/>
    <col min="51" max="54" width="5.44140625" style="184" customWidth="1"/>
    <col min="55" max="55" width="6" style="184" bestFit="1" customWidth="1"/>
    <col min="56" max="66" width="5.44140625" style="184" customWidth="1"/>
    <col min="67" max="67" width="17.44140625" style="184" customWidth="1"/>
    <col min="68" max="16384" width="5" style="184"/>
  </cols>
  <sheetData>
    <row r="1" spans="2:69" ht="41.4" customHeight="1" thickBot="1" x14ac:dyDescent="0.35">
      <c r="B1" s="798" t="s">
        <v>1461</v>
      </c>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c r="AL1" s="798"/>
      <c r="AM1" s="798"/>
      <c r="AN1" s="798"/>
      <c r="AO1" s="798"/>
      <c r="AP1" s="798"/>
      <c r="AQ1" s="798"/>
      <c r="AR1" s="798"/>
      <c r="AS1" s="798"/>
      <c r="AT1" s="798"/>
      <c r="AU1" s="798"/>
      <c r="AV1" s="798"/>
      <c r="AW1" s="798"/>
      <c r="AX1" s="798"/>
      <c r="AY1" s="798"/>
      <c r="AZ1" s="798"/>
      <c r="BA1" s="798"/>
      <c r="BB1" s="798"/>
      <c r="BC1" s="798"/>
      <c r="BD1" s="798"/>
      <c r="BE1" s="798"/>
      <c r="BF1" s="798"/>
      <c r="BG1" s="798"/>
      <c r="BH1" s="798"/>
      <c r="BI1" s="798"/>
      <c r="BJ1" s="798"/>
      <c r="BK1" s="798"/>
      <c r="BL1" s="798"/>
      <c r="BM1" s="798"/>
      <c r="BN1" s="799"/>
    </row>
    <row r="2" spans="2:69" s="598" customFormat="1" ht="28.95" customHeight="1" thickBot="1" x14ac:dyDescent="0.35">
      <c r="B2" s="800" t="s">
        <v>405</v>
      </c>
      <c r="C2" s="802" t="s">
        <v>420</v>
      </c>
      <c r="D2" s="804" t="s">
        <v>409</v>
      </c>
      <c r="E2" s="806" t="s">
        <v>392</v>
      </c>
      <c r="F2" s="808" t="s">
        <v>0</v>
      </c>
      <c r="G2" s="796" t="s">
        <v>1462</v>
      </c>
      <c r="H2" s="796"/>
      <c r="I2" s="796"/>
      <c r="J2" s="795" t="s">
        <v>400</v>
      </c>
      <c r="K2" s="796"/>
      <c r="L2" s="797"/>
      <c r="M2" s="792" t="s">
        <v>1672</v>
      </c>
      <c r="N2" s="793"/>
      <c r="O2" s="794"/>
      <c r="P2" s="795" t="s">
        <v>1606</v>
      </c>
      <c r="Q2" s="796"/>
      <c r="R2" s="797"/>
      <c r="S2" s="795" t="s">
        <v>401</v>
      </c>
      <c r="T2" s="796"/>
      <c r="U2" s="797"/>
      <c r="V2" s="792" t="s">
        <v>402</v>
      </c>
      <c r="W2" s="793"/>
      <c r="X2" s="794"/>
      <c r="Y2" s="793" t="s">
        <v>403</v>
      </c>
      <c r="Z2" s="793"/>
      <c r="AA2" s="793"/>
      <c r="AB2" s="795" t="s">
        <v>415</v>
      </c>
      <c r="AC2" s="796"/>
      <c r="AD2" s="796"/>
      <c r="AE2" s="795" t="s">
        <v>416</v>
      </c>
      <c r="AF2" s="796"/>
      <c r="AG2" s="796"/>
      <c r="AH2" s="795" t="s">
        <v>1463</v>
      </c>
      <c r="AI2" s="796"/>
      <c r="AJ2" s="796"/>
      <c r="AK2" s="795" t="s">
        <v>525</v>
      </c>
      <c r="AL2" s="796"/>
      <c r="AM2" s="797"/>
      <c r="AN2" s="795" t="s">
        <v>1466</v>
      </c>
      <c r="AO2" s="796"/>
      <c r="AP2" s="797"/>
      <c r="AQ2" s="795" t="s">
        <v>526</v>
      </c>
      <c r="AR2" s="796"/>
      <c r="AS2" s="797"/>
      <c r="AT2" s="796" t="s">
        <v>1088</v>
      </c>
      <c r="AU2" s="796"/>
      <c r="AV2" s="796"/>
      <c r="AW2" s="795" t="s">
        <v>1464</v>
      </c>
      <c r="AX2" s="796"/>
      <c r="AY2" s="797"/>
      <c r="AZ2" s="795" t="s">
        <v>1465</v>
      </c>
      <c r="BA2" s="796"/>
      <c r="BB2" s="797"/>
      <c r="BC2" s="795" t="s">
        <v>850</v>
      </c>
      <c r="BD2" s="796"/>
      <c r="BE2" s="796"/>
      <c r="BF2" s="795" t="s">
        <v>854</v>
      </c>
      <c r="BG2" s="796"/>
      <c r="BH2" s="796"/>
      <c r="BI2" s="795" t="s">
        <v>858</v>
      </c>
      <c r="BJ2" s="796"/>
      <c r="BK2" s="796"/>
      <c r="BL2" s="795" t="s">
        <v>947</v>
      </c>
      <c r="BM2" s="796"/>
      <c r="BN2" s="796"/>
      <c r="BO2" s="712" t="s">
        <v>1673</v>
      </c>
      <c r="BP2" s="711"/>
      <c r="BQ2" s="711"/>
    </row>
    <row r="3" spans="2:69" s="598" customFormat="1" ht="63.6" x14ac:dyDescent="0.3">
      <c r="B3" s="801"/>
      <c r="C3" s="803"/>
      <c r="D3" s="805"/>
      <c r="E3" s="807"/>
      <c r="F3" s="803"/>
      <c r="G3" s="486" t="s">
        <v>404</v>
      </c>
      <c r="H3" s="487" t="s">
        <v>406</v>
      </c>
      <c r="I3" s="488" t="s">
        <v>407</v>
      </c>
      <c r="J3" s="486" t="s">
        <v>404</v>
      </c>
      <c r="K3" s="487" t="s">
        <v>406</v>
      </c>
      <c r="L3" s="559" t="s">
        <v>407</v>
      </c>
      <c r="M3" s="486" t="s">
        <v>404</v>
      </c>
      <c r="N3" s="487" t="s">
        <v>406</v>
      </c>
      <c r="O3" s="559" t="s">
        <v>407</v>
      </c>
      <c r="P3" s="561" t="s">
        <v>404</v>
      </c>
      <c r="Q3" s="561" t="s">
        <v>406</v>
      </c>
      <c r="R3" s="561" t="s">
        <v>407</v>
      </c>
      <c r="S3" s="560" t="s">
        <v>404</v>
      </c>
      <c r="T3" s="487" t="s">
        <v>406</v>
      </c>
      <c r="U3" s="488" t="s">
        <v>407</v>
      </c>
      <c r="V3" s="486" t="s">
        <v>404</v>
      </c>
      <c r="W3" s="487" t="s">
        <v>406</v>
      </c>
      <c r="X3" s="488" t="s">
        <v>407</v>
      </c>
      <c r="Y3" s="486" t="s">
        <v>404</v>
      </c>
      <c r="Z3" s="487" t="s">
        <v>406</v>
      </c>
      <c r="AA3" s="488" t="s">
        <v>407</v>
      </c>
      <c r="AB3" s="486" t="s">
        <v>404</v>
      </c>
      <c r="AC3" s="487" t="s">
        <v>406</v>
      </c>
      <c r="AD3" s="488" t="s">
        <v>407</v>
      </c>
      <c r="AE3" s="486" t="s">
        <v>404</v>
      </c>
      <c r="AF3" s="487" t="s">
        <v>406</v>
      </c>
      <c r="AG3" s="488" t="s">
        <v>407</v>
      </c>
      <c r="AH3" s="486" t="s">
        <v>404</v>
      </c>
      <c r="AI3" s="487" t="s">
        <v>406</v>
      </c>
      <c r="AJ3" s="488" t="s">
        <v>407</v>
      </c>
      <c r="AK3" s="489" t="s">
        <v>404</v>
      </c>
      <c r="AL3" s="490" t="s">
        <v>406</v>
      </c>
      <c r="AM3" s="491" t="s">
        <v>407</v>
      </c>
      <c r="AN3" s="489" t="s">
        <v>404</v>
      </c>
      <c r="AO3" s="490" t="s">
        <v>406</v>
      </c>
      <c r="AP3" s="491" t="s">
        <v>407</v>
      </c>
      <c r="AQ3" s="489" t="s">
        <v>404</v>
      </c>
      <c r="AR3" s="490" t="s">
        <v>406</v>
      </c>
      <c r="AS3" s="491" t="s">
        <v>407</v>
      </c>
      <c r="AT3" s="489" t="s">
        <v>404</v>
      </c>
      <c r="AU3" s="490" t="s">
        <v>406</v>
      </c>
      <c r="AV3" s="491" t="s">
        <v>407</v>
      </c>
      <c r="AW3" s="489" t="s">
        <v>404</v>
      </c>
      <c r="AX3" s="490" t="s">
        <v>406</v>
      </c>
      <c r="AY3" s="491" t="s">
        <v>407</v>
      </c>
      <c r="AZ3" s="489" t="s">
        <v>404</v>
      </c>
      <c r="BA3" s="490" t="s">
        <v>406</v>
      </c>
      <c r="BB3" s="710" t="s">
        <v>407</v>
      </c>
      <c r="BC3" s="710" t="s">
        <v>404</v>
      </c>
      <c r="BD3" s="490" t="s">
        <v>406</v>
      </c>
      <c r="BE3" s="491" t="s">
        <v>407</v>
      </c>
      <c r="BF3" s="489" t="s">
        <v>404</v>
      </c>
      <c r="BG3" s="490" t="s">
        <v>406</v>
      </c>
      <c r="BH3" s="491" t="s">
        <v>407</v>
      </c>
      <c r="BI3" s="489" t="s">
        <v>404</v>
      </c>
      <c r="BJ3" s="490" t="s">
        <v>406</v>
      </c>
      <c r="BK3" s="491" t="s">
        <v>407</v>
      </c>
      <c r="BL3" s="489" t="s">
        <v>404</v>
      </c>
      <c r="BM3" s="490" t="s">
        <v>406</v>
      </c>
      <c r="BN3" s="709" t="s">
        <v>407</v>
      </c>
      <c r="BO3" s="713"/>
    </row>
    <row r="4" spans="2:69" s="185" customFormat="1" ht="14.4" x14ac:dyDescent="0.3">
      <c r="B4" s="600">
        <v>43008</v>
      </c>
      <c r="C4" s="599" t="s">
        <v>825</v>
      </c>
      <c r="D4" s="599"/>
      <c r="E4" s="599" t="s">
        <v>378</v>
      </c>
      <c r="F4" s="599" t="s">
        <v>237</v>
      </c>
      <c r="G4" s="599">
        <v>500</v>
      </c>
      <c r="H4" s="599"/>
      <c r="I4" s="599"/>
      <c r="J4" s="599"/>
      <c r="K4" s="599"/>
      <c r="L4" s="599"/>
      <c r="M4" s="599"/>
      <c r="N4" s="599"/>
      <c r="O4" s="599"/>
      <c r="P4" s="599"/>
      <c r="Q4" s="599"/>
      <c r="R4" s="599"/>
      <c r="S4" s="599">
        <v>500</v>
      </c>
      <c r="T4" s="599"/>
      <c r="U4" s="599"/>
      <c r="V4" s="599"/>
      <c r="W4" s="599"/>
      <c r="X4" s="599"/>
      <c r="Y4" s="599">
        <v>500</v>
      </c>
      <c r="Z4" s="599"/>
      <c r="AA4" s="599"/>
      <c r="AB4" s="599"/>
      <c r="AC4" s="599"/>
      <c r="AD4" s="599"/>
      <c r="AE4" s="599">
        <v>500</v>
      </c>
      <c r="AF4" s="599"/>
      <c r="AG4" s="599"/>
      <c r="AH4" s="599"/>
      <c r="AI4" s="599"/>
      <c r="AJ4" s="599"/>
      <c r="AK4" s="599">
        <v>500</v>
      </c>
      <c r="AL4" s="599"/>
      <c r="AM4" s="599"/>
      <c r="AN4" s="599"/>
      <c r="AO4" s="599"/>
      <c r="AP4" s="599"/>
      <c r="AQ4" s="599"/>
      <c r="AR4" s="599"/>
      <c r="AS4" s="599"/>
      <c r="AT4" s="599"/>
      <c r="AU4" s="599"/>
      <c r="AV4" s="599"/>
      <c r="AW4" s="599">
        <v>500</v>
      </c>
      <c r="AX4" s="599"/>
      <c r="AY4" s="599"/>
      <c r="AZ4" s="599"/>
      <c r="BA4" s="599"/>
      <c r="BB4" s="599"/>
      <c r="BC4" s="599"/>
      <c r="BD4" s="599"/>
      <c r="BE4" s="599"/>
      <c r="BF4" s="599"/>
      <c r="BG4" s="599"/>
      <c r="BH4" s="599"/>
      <c r="BI4" s="599"/>
      <c r="BJ4" s="599"/>
      <c r="BK4" s="599"/>
      <c r="BL4" s="599"/>
      <c r="BM4" s="599"/>
      <c r="BN4" s="601"/>
      <c r="BO4" s="599"/>
    </row>
    <row r="5" spans="2:69" s="185" customFormat="1" ht="14.4" x14ac:dyDescent="0.3">
      <c r="B5" s="600">
        <v>42978</v>
      </c>
      <c r="C5" s="599" t="s">
        <v>773</v>
      </c>
      <c r="D5" s="599"/>
      <c r="E5" s="599" t="s">
        <v>378</v>
      </c>
      <c r="F5" s="599" t="s">
        <v>237</v>
      </c>
      <c r="G5" s="599"/>
      <c r="H5" s="599"/>
      <c r="I5" s="599"/>
      <c r="J5" s="599">
        <v>1000</v>
      </c>
      <c r="K5" s="599"/>
      <c r="L5" s="599"/>
      <c r="M5" s="599"/>
      <c r="N5" s="599"/>
      <c r="O5" s="599"/>
      <c r="P5" s="599"/>
      <c r="Q5" s="599"/>
      <c r="R5" s="599"/>
      <c r="S5" s="599"/>
      <c r="T5" s="599"/>
      <c r="U5" s="599"/>
      <c r="V5" s="599">
        <v>1000</v>
      </c>
      <c r="W5" s="599"/>
      <c r="X5" s="599"/>
      <c r="Y5" s="599"/>
      <c r="Z5" s="599"/>
      <c r="AA5" s="599"/>
      <c r="AB5" s="599">
        <v>1000</v>
      </c>
      <c r="AC5" s="599"/>
      <c r="AD5" s="599"/>
      <c r="AE5" s="599">
        <v>1000</v>
      </c>
      <c r="AF5" s="599"/>
      <c r="AG5" s="599"/>
      <c r="AH5" s="599"/>
      <c r="AI5" s="599"/>
      <c r="AJ5" s="599"/>
      <c r="AK5" s="599">
        <v>1000</v>
      </c>
      <c r="AL5" s="599"/>
      <c r="AM5" s="599"/>
      <c r="AN5" s="599"/>
      <c r="AO5" s="599"/>
      <c r="AP5" s="599"/>
      <c r="AQ5" s="599">
        <v>1000</v>
      </c>
      <c r="AR5" s="599"/>
      <c r="AS5" s="599"/>
      <c r="AT5" s="599"/>
      <c r="AU5" s="599"/>
      <c r="AV5" s="599"/>
      <c r="AW5" s="599"/>
      <c r="AX5" s="599"/>
      <c r="AY5" s="599"/>
      <c r="AZ5" s="599"/>
      <c r="BA5" s="599"/>
      <c r="BB5" s="599"/>
      <c r="BC5" s="599"/>
      <c r="BD5" s="599"/>
      <c r="BE5" s="599"/>
      <c r="BF5" s="599"/>
      <c r="BG5" s="599"/>
      <c r="BH5" s="599"/>
      <c r="BI5" s="599"/>
      <c r="BJ5" s="599"/>
      <c r="BK5" s="599"/>
      <c r="BL5" s="599"/>
      <c r="BM5" s="599"/>
      <c r="BN5" s="601"/>
      <c r="BO5" s="599"/>
    </row>
    <row r="6" spans="2:69" s="185" customFormat="1" ht="14.4" x14ac:dyDescent="0.3">
      <c r="B6" s="600">
        <v>42845</v>
      </c>
      <c r="C6" s="599" t="s">
        <v>420</v>
      </c>
      <c r="D6" s="599" t="s">
        <v>424</v>
      </c>
      <c r="E6" s="599" t="s">
        <v>378</v>
      </c>
      <c r="F6" s="599" t="s">
        <v>237</v>
      </c>
      <c r="G6" s="599"/>
      <c r="H6" s="599"/>
      <c r="I6" s="599"/>
      <c r="J6" s="186">
        <v>6</v>
      </c>
      <c r="K6" s="599"/>
      <c r="L6" s="599"/>
      <c r="M6" s="599"/>
      <c r="N6" s="599"/>
      <c r="O6" s="599"/>
      <c r="P6" s="599"/>
      <c r="Q6" s="599"/>
      <c r="R6" s="599"/>
      <c r="S6" s="599"/>
      <c r="T6" s="599"/>
      <c r="U6" s="599"/>
      <c r="V6" s="599"/>
      <c r="W6" s="599"/>
      <c r="X6" s="599"/>
      <c r="Y6" s="599"/>
      <c r="Z6" s="599"/>
      <c r="AA6" s="599"/>
      <c r="AB6" s="599">
        <v>7</v>
      </c>
      <c r="AC6" s="599"/>
      <c r="AD6" s="599"/>
      <c r="AE6" s="599">
        <v>67</v>
      </c>
      <c r="AF6" s="599"/>
      <c r="AG6" s="599"/>
      <c r="AH6" s="599"/>
      <c r="AI6" s="599"/>
      <c r="AJ6" s="599"/>
      <c r="AK6" s="599">
        <v>24</v>
      </c>
      <c r="AL6" s="599"/>
      <c r="AM6" s="599"/>
      <c r="AN6" s="599">
        <v>1</v>
      </c>
      <c r="AO6" s="599"/>
      <c r="AP6" s="599"/>
      <c r="AQ6" s="599">
        <v>6</v>
      </c>
      <c r="AR6" s="599"/>
      <c r="AS6" s="599"/>
      <c r="AT6" s="599"/>
      <c r="AU6" s="599"/>
      <c r="AV6" s="599"/>
      <c r="AW6" s="599"/>
      <c r="AX6" s="599"/>
      <c r="AY6" s="599"/>
      <c r="AZ6" s="599"/>
      <c r="BA6" s="599"/>
      <c r="BB6" s="599"/>
      <c r="BC6" s="599"/>
      <c r="BD6" s="599"/>
      <c r="BE6" s="599"/>
      <c r="BF6" s="599"/>
      <c r="BG6" s="599"/>
      <c r="BH6" s="599"/>
      <c r="BI6" s="599"/>
      <c r="BJ6" s="599"/>
      <c r="BK6" s="599"/>
      <c r="BL6" s="599"/>
      <c r="BM6" s="599"/>
      <c r="BN6" s="601"/>
      <c r="BO6" s="599"/>
    </row>
    <row r="7" spans="2:69" s="185" customFormat="1" ht="14.4" x14ac:dyDescent="0.3">
      <c r="B7" s="600">
        <v>42845</v>
      </c>
      <c r="C7" s="599" t="s">
        <v>420</v>
      </c>
      <c r="D7" s="599" t="s">
        <v>424</v>
      </c>
      <c r="E7" s="599" t="s">
        <v>506</v>
      </c>
      <c r="F7" s="599" t="s">
        <v>230</v>
      </c>
      <c r="G7" s="599"/>
      <c r="H7" s="599"/>
      <c r="I7" s="599"/>
      <c r="J7" s="599">
        <v>156</v>
      </c>
      <c r="K7" s="599"/>
      <c r="L7" s="599"/>
      <c r="M7" s="599"/>
      <c r="N7" s="599"/>
      <c r="O7" s="599"/>
      <c r="P7" s="599"/>
      <c r="Q7" s="599"/>
      <c r="R7" s="599"/>
      <c r="S7" s="599"/>
      <c r="T7" s="599"/>
      <c r="U7" s="599"/>
      <c r="V7" s="599">
        <v>508</v>
      </c>
      <c r="W7" s="599"/>
      <c r="X7" s="599"/>
      <c r="Y7" s="599">
        <v>19</v>
      </c>
      <c r="Z7" s="599"/>
      <c r="AA7" s="599"/>
      <c r="AB7" s="599">
        <v>564</v>
      </c>
      <c r="AC7" s="599"/>
      <c r="AD7" s="599"/>
      <c r="AE7" s="599">
        <v>32</v>
      </c>
      <c r="AF7" s="599"/>
      <c r="AG7" s="599"/>
      <c r="AH7" s="599"/>
      <c r="AI7" s="599"/>
      <c r="AJ7" s="599"/>
      <c r="AK7" s="599">
        <v>181</v>
      </c>
      <c r="AL7" s="599"/>
      <c r="AM7" s="599"/>
      <c r="AN7" s="599">
        <v>15</v>
      </c>
      <c r="AO7" s="599"/>
      <c r="AP7" s="599"/>
      <c r="AQ7" s="599">
        <v>655</v>
      </c>
      <c r="AR7" s="599"/>
      <c r="AS7" s="599"/>
      <c r="AT7" s="599">
        <v>16</v>
      </c>
      <c r="AU7" s="599"/>
      <c r="AV7" s="599"/>
      <c r="AW7" s="599"/>
      <c r="AX7" s="599" t="s">
        <v>541</v>
      </c>
      <c r="AY7" s="599"/>
      <c r="AZ7" s="599"/>
      <c r="BA7" s="599"/>
      <c r="BB7" s="599"/>
      <c r="BC7" s="599"/>
      <c r="BD7" s="599"/>
      <c r="BE7" s="599"/>
      <c r="BF7" s="599">
        <v>456</v>
      </c>
      <c r="BG7" s="599"/>
      <c r="BH7" s="599"/>
      <c r="BI7" s="599"/>
      <c r="BJ7" s="599"/>
      <c r="BK7" s="599"/>
      <c r="BL7" s="599"/>
      <c r="BM7" s="599"/>
      <c r="BN7" s="601"/>
      <c r="BO7" s="599"/>
    </row>
    <row r="8" spans="2:69" s="185" customFormat="1" ht="14.4" x14ac:dyDescent="0.3">
      <c r="B8" s="600">
        <v>42845</v>
      </c>
      <c r="C8" s="599" t="s">
        <v>420</v>
      </c>
      <c r="D8" s="599" t="s">
        <v>424</v>
      </c>
      <c r="E8" s="599" t="s">
        <v>506</v>
      </c>
      <c r="F8" s="599" t="s">
        <v>146</v>
      </c>
      <c r="G8" s="599"/>
      <c r="H8" s="599"/>
      <c r="I8" s="599"/>
      <c r="J8" s="599">
        <v>20</v>
      </c>
      <c r="K8" s="599"/>
      <c r="L8" s="599"/>
      <c r="M8" s="599"/>
      <c r="N8" s="599"/>
      <c r="O8" s="599"/>
      <c r="P8" s="599"/>
      <c r="Q8" s="599"/>
      <c r="R8" s="599"/>
      <c r="S8" s="599">
        <v>25</v>
      </c>
      <c r="T8" s="599"/>
      <c r="U8" s="599"/>
      <c r="V8" s="599">
        <v>2</v>
      </c>
      <c r="W8" s="599"/>
      <c r="X8" s="599"/>
      <c r="Y8" s="599">
        <v>1</v>
      </c>
      <c r="Z8" s="599"/>
      <c r="AA8" s="599"/>
      <c r="AB8" s="599">
        <v>267</v>
      </c>
      <c r="AC8" s="599"/>
      <c r="AD8" s="599"/>
      <c r="AE8" s="599">
        <v>17</v>
      </c>
      <c r="AF8" s="599"/>
      <c r="AG8" s="599"/>
      <c r="AH8" s="599"/>
      <c r="AI8" s="599"/>
      <c r="AJ8" s="599"/>
      <c r="AK8" s="599">
        <v>52</v>
      </c>
      <c r="AL8" s="599"/>
      <c r="AM8" s="599"/>
      <c r="AN8" s="599">
        <v>15</v>
      </c>
      <c r="AO8" s="599"/>
      <c r="AP8" s="599"/>
      <c r="AQ8" s="599">
        <v>606</v>
      </c>
      <c r="AR8" s="599"/>
      <c r="AS8" s="599"/>
      <c r="AT8" s="599">
        <v>7</v>
      </c>
      <c r="AU8" s="599"/>
      <c r="AV8" s="599"/>
      <c r="AW8" s="599"/>
      <c r="AX8" s="599"/>
      <c r="AY8" s="599"/>
      <c r="AZ8" s="599"/>
      <c r="BA8" s="599"/>
      <c r="BB8" s="599"/>
      <c r="BC8" s="599"/>
      <c r="BD8" s="599"/>
      <c r="BE8" s="599"/>
      <c r="BF8" s="599"/>
      <c r="BG8" s="599"/>
      <c r="BH8" s="599"/>
      <c r="BI8" s="599"/>
      <c r="BJ8" s="599"/>
      <c r="BK8" s="599"/>
      <c r="BL8" s="599"/>
      <c r="BM8" s="599"/>
      <c r="BN8" s="601"/>
      <c r="BO8" s="599"/>
    </row>
    <row r="9" spans="2:69" s="185" customFormat="1" ht="14.4" x14ac:dyDescent="0.3">
      <c r="B9" s="600" t="s">
        <v>1671</v>
      </c>
      <c r="C9" s="599" t="s">
        <v>420</v>
      </c>
      <c r="D9" s="599" t="s">
        <v>420</v>
      </c>
      <c r="E9" s="599" t="s">
        <v>378</v>
      </c>
      <c r="F9" s="599" t="s">
        <v>237</v>
      </c>
      <c r="G9" s="599"/>
      <c r="H9" s="599"/>
      <c r="I9" s="599"/>
      <c r="J9" s="599">
        <v>561</v>
      </c>
      <c r="K9" s="599"/>
      <c r="L9" s="599"/>
      <c r="M9" s="599"/>
      <c r="N9" s="599"/>
      <c r="O9" s="599"/>
      <c r="P9" s="599"/>
      <c r="Q9" s="599"/>
      <c r="R9" s="599"/>
      <c r="S9" s="599">
        <v>54</v>
      </c>
      <c r="T9" s="599"/>
      <c r="U9" s="599"/>
      <c r="V9" s="599">
        <v>657</v>
      </c>
      <c r="W9" s="599"/>
      <c r="X9" s="599"/>
      <c r="Y9" s="599">
        <v>586</v>
      </c>
      <c r="Z9" s="599"/>
      <c r="AA9" s="599"/>
      <c r="AB9" s="599">
        <v>1051</v>
      </c>
      <c r="AC9" s="599"/>
      <c r="AD9" s="599"/>
      <c r="AE9" s="599">
        <v>643</v>
      </c>
      <c r="AF9" s="599"/>
      <c r="AG9" s="599"/>
      <c r="AH9" s="599"/>
      <c r="AI9" s="599"/>
      <c r="AJ9" s="599"/>
      <c r="AK9" s="599">
        <v>240</v>
      </c>
      <c r="AL9" s="599"/>
      <c r="AM9" s="599"/>
      <c r="AN9" s="599">
        <v>212</v>
      </c>
      <c r="AO9" s="599"/>
      <c r="AP9" s="599"/>
      <c r="AQ9" s="599">
        <v>1992</v>
      </c>
      <c r="AR9" s="599"/>
      <c r="AS9" s="599"/>
      <c r="AT9" s="599">
        <v>68</v>
      </c>
      <c r="AU9" s="599"/>
      <c r="AV9" s="599"/>
      <c r="AW9" s="599"/>
      <c r="AX9" s="599"/>
      <c r="AY9" s="599"/>
      <c r="AZ9" s="599"/>
      <c r="BA9" s="599"/>
      <c r="BB9" s="599"/>
      <c r="BC9" s="599">
        <v>3373</v>
      </c>
      <c r="BD9" s="599"/>
      <c r="BE9" s="599"/>
      <c r="BF9" s="599">
        <v>666</v>
      </c>
      <c r="BG9" s="599"/>
      <c r="BH9" s="599"/>
      <c r="BI9" s="599"/>
      <c r="BJ9" s="599"/>
      <c r="BK9" s="599"/>
      <c r="BL9" s="599"/>
      <c r="BM9" s="599"/>
      <c r="BN9" s="601"/>
      <c r="BO9" s="599"/>
    </row>
    <row r="10" spans="2:69" s="185" customFormat="1" ht="14.4" x14ac:dyDescent="0.3">
      <c r="B10" s="600" t="s">
        <v>1671</v>
      </c>
      <c r="C10" s="602" t="s">
        <v>420</v>
      </c>
      <c r="D10" s="602" t="s">
        <v>420</v>
      </c>
      <c r="E10" s="602" t="s">
        <v>378</v>
      </c>
      <c r="F10" s="602" t="s">
        <v>5</v>
      </c>
      <c r="G10" s="602"/>
      <c r="H10" s="602"/>
      <c r="I10" s="602"/>
      <c r="J10" s="602">
        <v>754</v>
      </c>
      <c r="K10" s="599"/>
      <c r="L10" s="599"/>
      <c r="M10" s="599"/>
      <c r="N10" s="599"/>
      <c r="O10" s="599"/>
      <c r="P10" s="599"/>
      <c r="Q10" s="599"/>
      <c r="R10" s="599"/>
      <c r="S10" s="599">
        <v>35</v>
      </c>
      <c r="T10" s="599"/>
      <c r="U10" s="599"/>
      <c r="V10" s="599">
        <v>800</v>
      </c>
      <c r="W10" s="599"/>
      <c r="X10" s="599"/>
      <c r="Y10" s="599">
        <v>532</v>
      </c>
      <c r="Z10" s="599"/>
      <c r="AA10" s="599"/>
      <c r="AB10" s="599">
        <v>4910</v>
      </c>
      <c r="AC10" s="599"/>
      <c r="AD10" s="599"/>
      <c r="AE10" s="599">
        <v>117</v>
      </c>
      <c r="AF10" s="599"/>
      <c r="AG10" s="599"/>
      <c r="AH10" s="599"/>
      <c r="AI10" s="599"/>
      <c r="AJ10" s="599"/>
      <c r="AK10" s="599">
        <v>380</v>
      </c>
      <c r="AL10" s="599"/>
      <c r="AM10" s="599"/>
      <c r="AN10" s="599">
        <v>1046</v>
      </c>
      <c r="AO10" s="599"/>
      <c r="AP10" s="599"/>
      <c r="AQ10" s="599">
        <v>1200</v>
      </c>
      <c r="AR10" s="599"/>
      <c r="AS10" s="599"/>
      <c r="AT10" s="599">
        <v>50</v>
      </c>
      <c r="AU10" s="599"/>
      <c r="AV10" s="599"/>
      <c r="AW10" s="599"/>
      <c r="AX10" s="599"/>
      <c r="AY10" s="599"/>
      <c r="AZ10" s="599"/>
      <c r="BA10" s="599"/>
      <c r="BB10" s="599"/>
      <c r="BC10" s="599">
        <v>1808</v>
      </c>
      <c r="BD10" s="599"/>
      <c r="BE10" s="599"/>
      <c r="BF10" s="599">
        <v>5981</v>
      </c>
      <c r="BG10" s="599"/>
      <c r="BH10" s="599"/>
      <c r="BI10" s="599"/>
      <c r="BJ10" s="599"/>
      <c r="BK10" s="599"/>
      <c r="BL10" s="599"/>
      <c r="BM10" s="599"/>
      <c r="BN10" s="601"/>
      <c r="BO10" s="599"/>
    </row>
    <row r="11" spans="2:69" s="185" customFormat="1" ht="14.4" x14ac:dyDescent="0.3">
      <c r="B11" s="600">
        <v>43109</v>
      </c>
      <c r="C11" s="599" t="s">
        <v>1574</v>
      </c>
      <c r="D11" s="599"/>
      <c r="E11" s="599" t="s">
        <v>506</v>
      </c>
      <c r="F11" s="599" t="s">
        <v>717</v>
      </c>
      <c r="G11" s="599">
        <v>646</v>
      </c>
      <c r="H11" s="599"/>
      <c r="I11" s="599"/>
      <c r="J11" s="599">
        <v>204</v>
      </c>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601"/>
      <c r="BO11" s="599"/>
    </row>
    <row r="12" spans="2:69" s="185" customFormat="1" ht="14.4" x14ac:dyDescent="0.3">
      <c r="B12" s="600">
        <v>43109</v>
      </c>
      <c r="C12" s="599" t="s">
        <v>1574</v>
      </c>
      <c r="D12" s="599"/>
      <c r="E12" s="599" t="s">
        <v>506</v>
      </c>
      <c r="F12" s="599" t="s">
        <v>288</v>
      </c>
      <c r="G12" s="599">
        <v>71</v>
      </c>
      <c r="H12" s="599"/>
      <c r="I12" s="599"/>
      <c r="J12" s="599">
        <v>146</v>
      </c>
      <c r="K12" s="599"/>
      <c r="L12" s="599"/>
      <c r="M12" s="599"/>
      <c r="N12" s="599"/>
      <c r="O12" s="599"/>
      <c r="P12" s="599"/>
      <c r="Q12" s="599"/>
      <c r="R12" s="599"/>
      <c r="S12" s="599"/>
      <c r="T12" s="599"/>
      <c r="U12" s="599"/>
      <c r="V12" s="599"/>
      <c r="W12" s="599"/>
      <c r="X12" s="599"/>
      <c r="Y12" s="599">
        <v>82</v>
      </c>
      <c r="Z12" s="599"/>
      <c r="AA12" s="599"/>
      <c r="AB12" s="599"/>
      <c r="AC12" s="599"/>
      <c r="AD12" s="599"/>
      <c r="AE12" s="599"/>
      <c r="AF12" s="599"/>
      <c r="AG12" s="599"/>
      <c r="AH12" s="599"/>
      <c r="AI12" s="599"/>
      <c r="AJ12" s="599"/>
      <c r="AK12" s="599">
        <v>85</v>
      </c>
      <c r="AL12" s="599"/>
      <c r="AM12" s="599"/>
      <c r="AN12" s="599">
        <v>4</v>
      </c>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601"/>
      <c r="BO12" s="599"/>
    </row>
    <row r="13" spans="2:69" s="185" customFormat="1" ht="16.5" customHeight="1" x14ac:dyDescent="0.3">
      <c r="B13" s="600">
        <v>43117</v>
      </c>
      <c r="C13" s="603" t="s">
        <v>1587</v>
      </c>
      <c r="D13" s="599"/>
      <c r="E13" s="599" t="s">
        <v>506</v>
      </c>
      <c r="F13" s="599" t="s">
        <v>717</v>
      </c>
      <c r="G13" s="599">
        <v>226</v>
      </c>
      <c r="H13" s="599"/>
      <c r="I13" s="599"/>
      <c r="J13" s="599">
        <v>176</v>
      </c>
      <c r="K13" s="599"/>
      <c r="L13" s="599"/>
      <c r="M13" s="599"/>
      <c r="N13" s="599"/>
      <c r="O13" s="599"/>
      <c r="P13" s="599"/>
      <c r="Q13" s="599"/>
      <c r="R13" s="599"/>
      <c r="S13" s="599">
        <v>46</v>
      </c>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v>288</v>
      </c>
      <c r="AU13" s="599"/>
      <c r="AV13" s="599"/>
      <c r="AW13" s="599"/>
      <c r="AX13" s="599"/>
      <c r="AY13" s="599"/>
      <c r="AZ13" s="599">
        <v>477</v>
      </c>
      <c r="BA13" s="599"/>
      <c r="BB13" s="599"/>
      <c r="BC13" s="599"/>
      <c r="BD13" s="599"/>
      <c r="BE13" s="599"/>
      <c r="BF13" s="599"/>
      <c r="BG13" s="599"/>
      <c r="BH13" s="599"/>
      <c r="BI13" s="599"/>
      <c r="BJ13" s="599"/>
      <c r="BK13" s="599"/>
      <c r="BL13" s="599"/>
      <c r="BM13" s="599"/>
      <c r="BN13" s="601"/>
      <c r="BO13" s="599"/>
    </row>
    <row r="14" spans="2:69" s="185" customFormat="1" ht="14.4" x14ac:dyDescent="0.3">
      <c r="B14" s="13" t="s">
        <v>1607</v>
      </c>
      <c r="C14" s="603" t="s">
        <v>1608</v>
      </c>
      <c r="D14" s="599"/>
      <c r="E14" s="599" t="s">
        <v>506</v>
      </c>
      <c r="F14" s="599" t="s">
        <v>717</v>
      </c>
      <c r="G14" s="599">
        <v>369</v>
      </c>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601"/>
      <c r="BO14" s="599"/>
    </row>
    <row r="15" spans="2:69" s="185" customFormat="1" ht="14.4" x14ac:dyDescent="0.3">
      <c r="B15" s="13" t="s">
        <v>1607</v>
      </c>
      <c r="C15" s="603" t="s">
        <v>1608</v>
      </c>
      <c r="D15" s="599"/>
      <c r="E15" s="599" t="s">
        <v>506</v>
      </c>
      <c r="F15" s="599" t="s">
        <v>717</v>
      </c>
      <c r="G15" s="599">
        <v>190</v>
      </c>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601"/>
      <c r="BO15" s="599"/>
    </row>
    <row r="16" spans="2:69" s="185" customFormat="1" ht="14.4" x14ac:dyDescent="0.3">
      <c r="B16" s="13" t="s">
        <v>1607</v>
      </c>
      <c r="C16" s="603" t="s">
        <v>1608</v>
      </c>
      <c r="D16" s="599"/>
      <c r="E16" s="599" t="s">
        <v>506</v>
      </c>
      <c r="F16" s="599" t="s">
        <v>230</v>
      </c>
      <c r="G16" s="599">
        <v>48</v>
      </c>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601"/>
      <c r="BO16" s="599"/>
    </row>
    <row r="17" spans="2:67" s="185" customFormat="1" ht="14.4" x14ac:dyDescent="0.3">
      <c r="B17" s="600" t="s">
        <v>1671</v>
      </c>
      <c r="C17" s="602" t="s">
        <v>1385</v>
      </c>
      <c r="D17" s="599"/>
      <c r="E17" s="602" t="s">
        <v>378</v>
      </c>
      <c r="F17" s="602" t="s">
        <v>5</v>
      </c>
      <c r="G17" s="599">
        <v>200</v>
      </c>
      <c r="H17" s="599">
        <v>0</v>
      </c>
      <c r="I17" s="599"/>
      <c r="J17" s="599"/>
      <c r="K17" s="599"/>
      <c r="L17" s="599"/>
      <c r="M17" s="599">
        <v>200</v>
      </c>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v>200</v>
      </c>
      <c r="AX17" s="599"/>
      <c r="AY17" s="599"/>
      <c r="AZ17" s="599">
        <v>50</v>
      </c>
      <c r="BA17" s="599"/>
      <c r="BB17" s="599"/>
      <c r="BC17" s="599"/>
      <c r="BD17" s="599"/>
      <c r="BE17" s="599"/>
      <c r="BF17" s="599"/>
      <c r="BG17" s="599"/>
      <c r="BH17" s="599"/>
      <c r="BI17" s="599"/>
      <c r="BJ17" s="599"/>
      <c r="BK17" s="599"/>
      <c r="BL17" s="599"/>
      <c r="BM17" s="599"/>
      <c r="BN17" s="601"/>
      <c r="BO17" s="599"/>
    </row>
    <row r="18" spans="2:67" ht="14.4" x14ac:dyDescent="0.3">
      <c r="B18" s="707">
        <v>43216</v>
      </c>
      <c r="C18" s="605" t="s">
        <v>1264</v>
      </c>
      <c r="D18" s="605"/>
      <c r="E18" s="605" t="s">
        <v>378</v>
      </c>
      <c r="F18" s="605" t="s">
        <v>5</v>
      </c>
      <c r="G18" s="605">
        <v>87</v>
      </c>
      <c r="H18" s="605"/>
      <c r="I18" s="605"/>
      <c r="J18" s="605"/>
      <c r="K18" s="605"/>
      <c r="L18" s="605"/>
      <c r="M18" s="605"/>
      <c r="N18" s="605"/>
      <c r="O18" s="605"/>
      <c r="P18" s="605"/>
      <c r="Q18" s="605"/>
      <c r="R18" s="605"/>
      <c r="S18" s="605">
        <v>150</v>
      </c>
      <c r="T18" s="605"/>
      <c r="U18" s="605"/>
      <c r="V18" s="605">
        <v>110</v>
      </c>
      <c r="W18" s="605"/>
      <c r="X18" s="605"/>
      <c r="Y18" s="605">
        <v>247</v>
      </c>
      <c r="Z18" s="605"/>
      <c r="AA18" s="605"/>
      <c r="AB18" s="605">
        <v>34</v>
      </c>
      <c r="AC18" s="605"/>
      <c r="AD18" s="605"/>
      <c r="AE18" s="605">
        <v>72</v>
      </c>
      <c r="AF18" s="605"/>
      <c r="AG18" s="605"/>
      <c r="AH18" s="605"/>
      <c r="AI18" s="605"/>
      <c r="AJ18" s="605"/>
      <c r="AK18" s="605"/>
      <c r="AL18" s="605"/>
      <c r="AM18" s="605"/>
      <c r="AN18" s="605"/>
      <c r="AO18" s="605"/>
      <c r="AP18" s="605"/>
      <c r="AQ18" s="605">
        <v>134</v>
      </c>
      <c r="AR18" s="605"/>
      <c r="AS18" s="605"/>
      <c r="AT18" s="605"/>
      <c r="AU18" s="605"/>
      <c r="AV18" s="605"/>
      <c r="AW18" s="605"/>
      <c r="AX18" s="605"/>
      <c r="AY18" s="605"/>
      <c r="AZ18" s="605"/>
      <c r="BA18" s="605"/>
      <c r="BB18" s="605"/>
      <c r="BC18" s="605">
        <v>9</v>
      </c>
      <c r="BD18" s="605"/>
      <c r="BE18" s="605"/>
      <c r="BF18" s="605">
        <v>9</v>
      </c>
      <c r="BG18" s="605"/>
      <c r="BH18" s="605"/>
      <c r="BI18" s="605">
        <v>80</v>
      </c>
      <c r="BJ18" s="605"/>
      <c r="BK18" s="605"/>
      <c r="BL18" s="605">
        <v>78</v>
      </c>
      <c r="BM18" s="605"/>
      <c r="BN18" s="606"/>
      <c r="BO18" s="605"/>
    </row>
    <row r="19" spans="2:67" s="185" customFormat="1" ht="14.4" x14ac:dyDescent="0.3">
      <c r="B19" s="708">
        <v>43214</v>
      </c>
      <c r="C19" s="506" t="s">
        <v>1264</v>
      </c>
      <c r="D19" s="506"/>
      <c r="E19" s="506" t="s">
        <v>506</v>
      </c>
      <c r="F19" s="506" t="s">
        <v>717</v>
      </c>
      <c r="G19" s="599"/>
      <c r="H19" s="599"/>
      <c r="I19" s="599"/>
      <c r="J19" s="599"/>
      <c r="K19" s="599"/>
      <c r="L19" s="599"/>
      <c r="M19" s="599"/>
      <c r="N19" s="599"/>
      <c r="O19" s="599"/>
      <c r="P19" s="599"/>
      <c r="Q19" s="599"/>
      <c r="R19" s="599"/>
      <c r="S19" s="599"/>
      <c r="T19" s="599"/>
      <c r="U19" s="599"/>
      <c r="V19" s="599"/>
      <c r="W19" s="599"/>
      <c r="X19" s="599"/>
      <c r="Y19" s="599">
        <v>40</v>
      </c>
      <c r="Z19" s="599"/>
      <c r="AA19" s="599"/>
      <c r="AB19" s="599"/>
      <c r="AC19" s="599"/>
      <c r="AD19" s="599"/>
      <c r="AE19" s="599"/>
      <c r="AF19" s="599"/>
      <c r="AG19" s="599"/>
      <c r="AH19" s="599"/>
      <c r="AI19" s="599"/>
      <c r="AJ19" s="599"/>
      <c r="AK19" s="599"/>
      <c r="AL19" s="599"/>
      <c r="AM19" s="599"/>
      <c r="AN19" s="599"/>
      <c r="AO19" s="599"/>
      <c r="AP19" s="599"/>
      <c r="AQ19" s="599">
        <v>285</v>
      </c>
      <c r="AR19" s="599"/>
      <c r="AS19" s="599"/>
      <c r="AT19" s="599"/>
      <c r="AU19" s="599"/>
      <c r="AV19" s="599"/>
      <c r="AW19" s="599"/>
      <c r="AX19" s="599"/>
      <c r="AY19" s="599"/>
      <c r="AZ19" s="599"/>
      <c r="BA19" s="599"/>
      <c r="BB19" s="599"/>
      <c r="BC19" s="599"/>
      <c r="BD19" s="599"/>
      <c r="BE19" s="599"/>
      <c r="BF19" s="599"/>
      <c r="BG19" s="599"/>
      <c r="BH19" s="599"/>
      <c r="BI19" s="599">
        <v>285</v>
      </c>
      <c r="BJ19" s="599"/>
      <c r="BK19" s="599"/>
      <c r="BL19" s="599">
        <v>285</v>
      </c>
      <c r="BM19" s="599"/>
      <c r="BN19" s="601"/>
      <c r="BO19" s="599"/>
    </row>
    <row r="20" spans="2:67" ht="14.4" x14ac:dyDescent="0.3">
      <c r="B20" s="505" t="s">
        <v>1530</v>
      </c>
      <c r="C20" s="605"/>
      <c r="D20" s="605"/>
      <c r="E20" s="605"/>
      <c r="F20" s="605"/>
      <c r="G20" s="506">
        <f>G4+G5+G6+G7+G8+G9+G10+G11+G12+G13+G14+G15+G16+G17+G18+G19</f>
        <v>2337</v>
      </c>
      <c r="H20" s="506">
        <f t="shared" ref="H20:AW20" si="0">H4+H5+H6+H7+H8+H9+H10+H11+H12+H13+H14+H15+H16+H17+H18+H19</f>
        <v>0</v>
      </c>
      <c r="I20" s="506">
        <f t="shared" si="0"/>
        <v>0</v>
      </c>
      <c r="J20" s="506">
        <f t="shared" si="0"/>
        <v>3023</v>
      </c>
      <c r="K20" s="506">
        <f t="shared" si="0"/>
        <v>0</v>
      </c>
      <c r="L20" s="506">
        <f t="shared" si="0"/>
        <v>0</v>
      </c>
      <c r="M20" s="506">
        <f t="shared" si="0"/>
        <v>200</v>
      </c>
      <c r="N20" s="506">
        <f t="shared" si="0"/>
        <v>0</v>
      </c>
      <c r="O20" s="506">
        <f t="shared" si="0"/>
        <v>0</v>
      </c>
      <c r="P20" s="506">
        <f t="shared" si="0"/>
        <v>0</v>
      </c>
      <c r="Q20" s="506">
        <f t="shared" si="0"/>
        <v>0</v>
      </c>
      <c r="R20" s="506">
        <f t="shared" si="0"/>
        <v>0</v>
      </c>
      <c r="S20" s="506">
        <f t="shared" si="0"/>
        <v>810</v>
      </c>
      <c r="T20" s="506">
        <f t="shared" si="0"/>
        <v>0</v>
      </c>
      <c r="U20" s="506">
        <f t="shared" si="0"/>
        <v>0</v>
      </c>
      <c r="V20" s="506">
        <f t="shared" si="0"/>
        <v>3077</v>
      </c>
      <c r="W20" s="506">
        <f t="shared" si="0"/>
        <v>0</v>
      </c>
      <c r="X20" s="506">
        <f t="shared" si="0"/>
        <v>0</v>
      </c>
      <c r="Y20" s="506">
        <f t="shared" si="0"/>
        <v>2007</v>
      </c>
      <c r="Z20" s="506">
        <f t="shared" si="0"/>
        <v>0</v>
      </c>
      <c r="AA20" s="506">
        <f t="shared" si="0"/>
        <v>0</v>
      </c>
      <c r="AB20" s="506">
        <f t="shared" si="0"/>
        <v>7833</v>
      </c>
      <c r="AC20" s="506">
        <f t="shared" si="0"/>
        <v>0</v>
      </c>
      <c r="AD20" s="506">
        <f t="shared" si="0"/>
        <v>0</v>
      </c>
      <c r="AE20" s="506">
        <f t="shared" si="0"/>
        <v>2448</v>
      </c>
      <c r="AF20" s="506">
        <f t="shared" si="0"/>
        <v>0</v>
      </c>
      <c r="AG20" s="506">
        <f t="shared" si="0"/>
        <v>0</v>
      </c>
      <c r="AH20" s="506">
        <f t="shared" si="0"/>
        <v>0</v>
      </c>
      <c r="AI20" s="506">
        <f t="shared" si="0"/>
        <v>0</v>
      </c>
      <c r="AJ20" s="506">
        <f t="shared" si="0"/>
        <v>0</v>
      </c>
      <c r="AK20" s="506">
        <f t="shared" si="0"/>
        <v>2462</v>
      </c>
      <c r="AL20" s="506">
        <f t="shared" si="0"/>
        <v>0</v>
      </c>
      <c r="AM20" s="506">
        <f t="shared" si="0"/>
        <v>0</v>
      </c>
      <c r="AN20" s="506">
        <f t="shared" si="0"/>
        <v>1293</v>
      </c>
      <c r="AO20" s="506">
        <f t="shared" si="0"/>
        <v>0</v>
      </c>
      <c r="AP20" s="506">
        <f t="shared" si="0"/>
        <v>0</v>
      </c>
      <c r="AQ20" s="506">
        <f t="shared" si="0"/>
        <v>5878</v>
      </c>
      <c r="AR20" s="506">
        <f t="shared" si="0"/>
        <v>0</v>
      </c>
      <c r="AS20" s="506">
        <f t="shared" si="0"/>
        <v>0</v>
      </c>
      <c r="AT20" s="506">
        <f t="shared" si="0"/>
        <v>429</v>
      </c>
      <c r="AU20" s="506">
        <f t="shared" si="0"/>
        <v>0</v>
      </c>
      <c r="AV20" s="506">
        <f t="shared" si="0"/>
        <v>0</v>
      </c>
      <c r="AW20" s="506">
        <f t="shared" si="0"/>
        <v>700</v>
      </c>
      <c r="AX20" s="506">
        <v>0</v>
      </c>
      <c r="AY20" s="506">
        <f t="shared" ref="AY20:BN20" si="1">AY4+AY5+AY6+AY7+AY8+AY9+AY10+AY11+AY12+AY13+AY14+AY15+AY16+AY17+AY18+AY19</f>
        <v>0</v>
      </c>
      <c r="AZ20" s="506">
        <f t="shared" si="1"/>
        <v>527</v>
      </c>
      <c r="BA20" s="506">
        <f t="shared" si="1"/>
        <v>0</v>
      </c>
      <c r="BB20" s="506">
        <f t="shared" si="1"/>
        <v>0</v>
      </c>
      <c r="BC20" s="506">
        <f t="shared" si="1"/>
        <v>5190</v>
      </c>
      <c r="BD20" s="506">
        <f t="shared" si="1"/>
        <v>0</v>
      </c>
      <c r="BE20" s="506">
        <f t="shared" si="1"/>
        <v>0</v>
      </c>
      <c r="BF20" s="506">
        <f t="shared" si="1"/>
        <v>7112</v>
      </c>
      <c r="BG20" s="506">
        <f t="shared" si="1"/>
        <v>0</v>
      </c>
      <c r="BH20" s="506">
        <f t="shared" si="1"/>
        <v>0</v>
      </c>
      <c r="BI20" s="506">
        <f t="shared" si="1"/>
        <v>365</v>
      </c>
      <c r="BJ20" s="506">
        <f t="shared" si="1"/>
        <v>0</v>
      </c>
      <c r="BK20" s="506">
        <f t="shared" si="1"/>
        <v>0</v>
      </c>
      <c r="BL20" s="506">
        <f t="shared" si="1"/>
        <v>363</v>
      </c>
      <c r="BM20" s="506">
        <f t="shared" si="1"/>
        <v>0</v>
      </c>
      <c r="BN20" s="506">
        <f t="shared" si="1"/>
        <v>0</v>
      </c>
      <c r="BO20" s="605"/>
    </row>
    <row r="21" spans="2:67" ht="14.4" x14ac:dyDescent="0.3">
      <c r="B21" s="604"/>
      <c r="C21" s="605"/>
      <c r="D21" s="605"/>
      <c r="E21" s="605"/>
      <c r="F21" s="605"/>
      <c r="G21" s="605"/>
      <c r="H21" s="605"/>
      <c r="I21" s="605"/>
      <c r="J21" s="605"/>
      <c r="K21" s="605"/>
      <c r="L21" s="605"/>
      <c r="M21" s="605"/>
      <c r="N21" s="605"/>
      <c r="O21" s="605"/>
      <c r="P21" s="605"/>
      <c r="Q21" s="605"/>
      <c r="R21" s="605"/>
      <c r="S21" s="605"/>
      <c r="T21" s="605"/>
      <c r="U21" s="605"/>
      <c r="V21" s="605"/>
      <c r="W21" s="605"/>
      <c r="X21" s="605"/>
      <c r="Y21" s="605"/>
      <c r="Z21" s="605"/>
      <c r="AA21" s="605"/>
      <c r="AB21" s="605"/>
      <c r="AC21" s="605"/>
      <c r="AD21" s="605"/>
      <c r="AE21" s="605"/>
      <c r="AF21" s="605"/>
      <c r="AG21" s="605"/>
      <c r="AH21" s="605"/>
      <c r="AI21" s="605"/>
      <c r="AJ21" s="605"/>
      <c r="AK21" s="605"/>
      <c r="AL21" s="605"/>
      <c r="AM21" s="605"/>
      <c r="AN21" s="605"/>
      <c r="AO21" s="605"/>
      <c r="AP21" s="605"/>
      <c r="AQ21" s="605"/>
      <c r="AR21" s="605"/>
      <c r="AS21" s="605"/>
      <c r="AT21" s="605"/>
      <c r="AU21" s="605"/>
      <c r="AV21" s="605"/>
      <c r="AW21" s="605"/>
      <c r="AX21" s="605"/>
      <c r="AY21" s="605"/>
      <c r="AZ21" s="605"/>
      <c r="BA21" s="605"/>
      <c r="BB21" s="605"/>
      <c r="BC21" s="605"/>
      <c r="BD21" s="605"/>
      <c r="BE21" s="605"/>
      <c r="BF21" s="605"/>
      <c r="BG21" s="605"/>
      <c r="BH21" s="605"/>
      <c r="BI21" s="605"/>
      <c r="BJ21" s="605"/>
      <c r="BK21" s="605"/>
      <c r="BL21" s="605"/>
      <c r="BM21" s="605"/>
      <c r="BN21" s="606"/>
      <c r="BO21" s="605"/>
    </row>
    <row r="22" spans="2:67" ht="14.4" x14ac:dyDescent="0.3">
      <c r="B22" s="604"/>
      <c r="C22" s="605"/>
      <c r="D22" s="605"/>
      <c r="E22" s="605"/>
      <c r="F22" s="605"/>
      <c r="G22" s="605"/>
      <c r="H22" s="605"/>
      <c r="I22" s="605"/>
      <c r="J22" s="605"/>
      <c r="K22" s="605"/>
      <c r="L22" s="605"/>
      <c r="M22" s="605"/>
      <c r="N22" s="605"/>
      <c r="O22" s="605"/>
      <c r="P22" s="605"/>
      <c r="Q22" s="605"/>
      <c r="R22" s="605"/>
      <c r="S22" s="605"/>
      <c r="T22" s="605"/>
      <c r="U22" s="605"/>
      <c r="V22" s="605"/>
      <c r="W22" s="605"/>
      <c r="X22" s="605"/>
      <c r="Y22" s="605"/>
      <c r="Z22" s="605"/>
      <c r="AA22" s="605"/>
      <c r="AB22" s="605"/>
      <c r="AC22" s="605"/>
      <c r="AD22" s="605"/>
      <c r="AE22" s="605"/>
      <c r="AF22" s="605"/>
      <c r="AG22" s="605"/>
      <c r="AH22" s="605"/>
      <c r="AI22" s="605"/>
      <c r="AJ22" s="605"/>
      <c r="AK22" s="605"/>
      <c r="AL22" s="605"/>
      <c r="AM22" s="605"/>
      <c r="AN22" s="605"/>
      <c r="AO22" s="605"/>
      <c r="AP22" s="605"/>
      <c r="AQ22" s="605"/>
      <c r="AR22" s="605"/>
      <c r="AS22" s="605"/>
      <c r="AT22" s="605"/>
      <c r="AU22" s="605"/>
      <c r="AV22" s="605"/>
      <c r="AW22" s="605"/>
      <c r="AX22" s="605"/>
      <c r="AY22" s="605"/>
      <c r="AZ22" s="605"/>
      <c r="BA22" s="605"/>
      <c r="BB22" s="605"/>
      <c r="BC22" s="605"/>
      <c r="BD22" s="605"/>
      <c r="BE22" s="605"/>
      <c r="BF22" s="605"/>
      <c r="BG22" s="605"/>
      <c r="BH22" s="605"/>
      <c r="BI22" s="605"/>
      <c r="BJ22" s="605"/>
      <c r="BK22" s="605"/>
      <c r="BL22" s="605"/>
      <c r="BM22" s="605"/>
      <c r="BN22" s="606"/>
      <c r="BO22" s="605"/>
    </row>
    <row r="23" spans="2:67" ht="14.4" x14ac:dyDescent="0.3">
      <c r="B23" s="604"/>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5"/>
      <c r="AA23" s="605"/>
      <c r="AB23" s="605"/>
      <c r="AC23" s="605"/>
      <c r="AD23" s="605"/>
      <c r="AE23" s="605"/>
      <c r="AF23" s="605"/>
      <c r="AG23" s="605"/>
      <c r="AH23" s="605"/>
      <c r="AI23" s="605"/>
      <c r="AJ23" s="605"/>
      <c r="AK23" s="605"/>
      <c r="AL23" s="605"/>
      <c r="AM23" s="605"/>
      <c r="AN23" s="605"/>
      <c r="AO23" s="605"/>
      <c r="AP23" s="605"/>
      <c r="AQ23" s="605"/>
      <c r="AR23" s="605"/>
      <c r="AS23" s="605"/>
      <c r="AT23" s="605"/>
      <c r="AU23" s="605"/>
      <c r="AV23" s="605"/>
      <c r="AW23" s="605"/>
      <c r="AX23" s="605"/>
      <c r="AY23" s="605"/>
      <c r="AZ23" s="605"/>
      <c r="BA23" s="605"/>
      <c r="BB23" s="605"/>
      <c r="BC23" s="605"/>
      <c r="BD23" s="605"/>
      <c r="BE23" s="605"/>
      <c r="BF23" s="605"/>
      <c r="BG23" s="605"/>
      <c r="BH23" s="605"/>
      <c r="BI23" s="605"/>
      <c r="BJ23" s="605"/>
      <c r="BK23" s="605"/>
      <c r="BL23" s="605"/>
      <c r="BM23" s="605"/>
      <c r="BN23" s="606"/>
      <c r="BO23" s="605"/>
    </row>
    <row r="24" spans="2:67" ht="14.4" x14ac:dyDescent="0.3">
      <c r="B24" s="604"/>
      <c r="C24" s="605"/>
      <c r="D24" s="605"/>
      <c r="E24" s="605"/>
      <c r="F24" s="605"/>
      <c r="G24" s="605"/>
      <c r="H24" s="605"/>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6"/>
      <c r="BO24" s="605"/>
    </row>
    <row r="25" spans="2:67" ht="14.4" x14ac:dyDescent="0.3">
      <c r="B25" s="604"/>
      <c r="C25" s="605"/>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6"/>
      <c r="BO25" s="605"/>
    </row>
    <row r="26" spans="2:67" ht="14.4" x14ac:dyDescent="0.3">
      <c r="B26" s="604"/>
      <c r="C26" s="605"/>
      <c r="D26" s="605"/>
      <c r="E26" s="605"/>
      <c r="F26" s="605"/>
      <c r="G26" s="605"/>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5"/>
      <c r="AG26" s="605"/>
      <c r="AH26" s="605"/>
      <c r="AI26" s="605"/>
      <c r="AJ26" s="605"/>
      <c r="AK26" s="605"/>
      <c r="AL26" s="605"/>
      <c r="AM26" s="605"/>
      <c r="AN26" s="605"/>
      <c r="AO26" s="605"/>
      <c r="AP26" s="605"/>
      <c r="AQ26" s="605"/>
      <c r="AR26" s="605"/>
      <c r="AS26" s="605"/>
      <c r="AT26" s="605"/>
      <c r="AU26" s="605"/>
      <c r="AV26" s="605"/>
      <c r="AW26" s="605"/>
      <c r="AX26" s="605"/>
      <c r="AY26" s="605"/>
      <c r="AZ26" s="605"/>
      <c r="BA26" s="605"/>
      <c r="BB26" s="605"/>
      <c r="BC26" s="605"/>
      <c r="BD26" s="605"/>
      <c r="BE26" s="605"/>
      <c r="BF26" s="605"/>
      <c r="BG26" s="605"/>
      <c r="BH26" s="605"/>
      <c r="BI26" s="605"/>
      <c r="BJ26" s="605"/>
      <c r="BK26" s="605"/>
      <c r="BL26" s="605"/>
      <c r="BM26" s="605"/>
      <c r="BN26" s="606"/>
      <c r="BO26" s="605"/>
    </row>
    <row r="27" spans="2:67" ht="14.4" x14ac:dyDescent="0.3">
      <c r="B27" s="604"/>
      <c r="C27" s="605"/>
      <c r="D27" s="605"/>
      <c r="E27" s="605"/>
      <c r="F27" s="605"/>
      <c r="G27" s="605"/>
      <c r="H27" s="605"/>
      <c r="I27" s="605"/>
      <c r="J27" s="605"/>
      <c r="K27" s="605"/>
      <c r="L27" s="605"/>
      <c r="M27" s="605"/>
      <c r="N27" s="605"/>
      <c r="O27" s="605"/>
      <c r="P27" s="605"/>
      <c r="Q27" s="605"/>
      <c r="R27" s="605"/>
      <c r="S27" s="605"/>
      <c r="T27" s="605"/>
      <c r="U27" s="605"/>
      <c r="V27" s="605"/>
      <c r="W27" s="605"/>
      <c r="X27" s="605"/>
      <c r="Y27" s="605"/>
      <c r="Z27" s="605"/>
      <c r="AA27" s="605"/>
      <c r="AB27" s="605"/>
      <c r="AC27" s="605"/>
      <c r="AD27" s="605"/>
      <c r="AE27" s="605"/>
      <c r="AF27" s="605"/>
      <c r="AG27" s="605"/>
      <c r="AH27" s="605"/>
      <c r="AI27" s="605"/>
      <c r="AJ27" s="605"/>
      <c r="AK27" s="605"/>
      <c r="AL27" s="605"/>
      <c r="AM27" s="605"/>
      <c r="AN27" s="605"/>
      <c r="AO27" s="605"/>
      <c r="AP27" s="605"/>
      <c r="AQ27" s="605"/>
      <c r="AR27" s="605"/>
      <c r="AS27" s="605"/>
      <c r="AT27" s="605"/>
      <c r="AU27" s="605"/>
      <c r="AV27" s="605"/>
      <c r="AW27" s="605"/>
      <c r="AX27" s="605"/>
      <c r="AY27" s="605"/>
      <c r="AZ27" s="605"/>
      <c r="BA27" s="605"/>
      <c r="BB27" s="605"/>
      <c r="BC27" s="605"/>
      <c r="BD27" s="605"/>
      <c r="BE27" s="605"/>
      <c r="BF27" s="605"/>
      <c r="BG27" s="605"/>
      <c r="BH27" s="605"/>
      <c r="BI27" s="605"/>
      <c r="BJ27" s="605"/>
      <c r="BK27" s="605"/>
      <c r="BL27" s="605"/>
      <c r="BM27" s="605"/>
      <c r="BN27" s="606"/>
      <c r="BO27" s="605"/>
    </row>
    <row r="28" spans="2:67" ht="14.4" x14ac:dyDescent="0.3">
      <c r="B28" s="604"/>
      <c r="C28" s="605"/>
      <c r="D28" s="605"/>
      <c r="E28" s="605"/>
      <c r="F28" s="605"/>
      <c r="G28" s="605"/>
      <c r="H28" s="605"/>
      <c r="I28" s="605"/>
      <c r="J28" s="605"/>
      <c r="K28" s="605"/>
      <c r="L28" s="605"/>
      <c r="M28" s="605"/>
      <c r="N28" s="605"/>
      <c r="O28" s="605"/>
      <c r="P28" s="605"/>
      <c r="Q28" s="605"/>
      <c r="R28" s="605"/>
      <c r="S28" s="605"/>
      <c r="T28" s="605"/>
      <c r="U28" s="605"/>
      <c r="V28" s="605"/>
      <c r="W28" s="605"/>
      <c r="X28" s="605"/>
      <c r="Y28" s="605"/>
      <c r="Z28" s="605"/>
      <c r="AA28" s="605"/>
      <c r="AB28" s="605"/>
      <c r="AC28" s="605"/>
      <c r="AD28" s="605"/>
      <c r="AE28" s="605"/>
      <c r="AF28" s="605"/>
      <c r="AG28" s="605"/>
      <c r="AH28" s="605"/>
      <c r="AI28" s="605"/>
      <c r="AJ28" s="605"/>
      <c r="AK28" s="605"/>
      <c r="AL28" s="605"/>
      <c r="AM28" s="605"/>
      <c r="AN28" s="605"/>
      <c r="AO28" s="605"/>
      <c r="AP28" s="605"/>
      <c r="AQ28" s="605"/>
      <c r="AR28" s="605"/>
      <c r="AS28" s="605"/>
      <c r="AT28" s="605"/>
      <c r="AU28" s="605"/>
      <c r="AV28" s="605"/>
      <c r="AW28" s="605"/>
      <c r="AX28" s="605"/>
      <c r="AY28" s="605"/>
      <c r="AZ28" s="605"/>
      <c r="BA28" s="605"/>
      <c r="BB28" s="605"/>
      <c r="BC28" s="605"/>
      <c r="BD28" s="605"/>
      <c r="BE28" s="605"/>
      <c r="BF28" s="605"/>
      <c r="BG28" s="605"/>
      <c r="BH28" s="605"/>
      <c r="BI28" s="605"/>
      <c r="BJ28" s="605"/>
      <c r="BK28" s="605"/>
      <c r="BL28" s="605"/>
      <c r="BM28" s="605"/>
      <c r="BN28" s="606"/>
      <c r="BO28" s="605"/>
    </row>
    <row r="29" spans="2:67" ht="14.4" x14ac:dyDescent="0.3">
      <c r="B29" s="604"/>
      <c r="C29" s="605"/>
      <c r="D29" s="605"/>
      <c r="E29" s="605"/>
      <c r="F29" s="605"/>
      <c r="G29" s="605"/>
      <c r="H29" s="605"/>
      <c r="I29" s="605"/>
      <c r="J29" s="605"/>
      <c r="K29" s="605"/>
      <c r="L29" s="605"/>
      <c r="M29" s="605"/>
      <c r="N29" s="605"/>
      <c r="O29" s="605"/>
      <c r="P29" s="605"/>
      <c r="Q29" s="605"/>
      <c r="R29" s="605"/>
      <c r="S29" s="605"/>
      <c r="T29" s="605"/>
      <c r="U29" s="605"/>
      <c r="V29" s="605"/>
      <c r="W29" s="605"/>
      <c r="X29" s="605"/>
      <c r="Y29" s="605"/>
      <c r="Z29" s="605"/>
      <c r="AA29" s="605"/>
      <c r="AB29" s="605"/>
      <c r="AC29" s="605"/>
      <c r="AD29" s="605"/>
      <c r="AE29" s="605"/>
      <c r="AF29" s="605"/>
      <c r="AG29" s="605"/>
      <c r="AH29" s="605"/>
      <c r="AI29" s="605"/>
      <c r="AJ29" s="605"/>
      <c r="AK29" s="605"/>
      <c r="AL29" s="605"/>
      <c r="AM29" s="605"/>
      <c r="AN29" s="605"/>
      <c r="AO29" s="605"/>
      <c r="AP29" s="605"/>
      <c r="AQ29" s="605"/>
      <c r="AR29" s="605"/>
      <c r="AS29" s="605"/>
      <c r="AT29" s="605"/>
      <c r="AU29" s="605"/>
      <c r="AV29" s="605"/>
      <c r="AW29" s="605"/>
      <c r="AX29" s="605"/>
      <c r="AY29" s="605"/>
      <c r="AZ29" s="605"/>
      <c r="BA29" s="605"/>
      <c r="BB29" s="605"/>
      <c r="BC29" s="605"/>
      <c r="BD29" s="605"/>
      <c r="BE29" s="605"/>
      <c r="BF29" s="605"/>
      <c r="BG29" s="605"/>
      <c r="BH29" s="605"/>
      <c r="BI29" s="605"/>
      <c r="BJ29" s="605"/>
      <c r="BK29" s="605"/>
      <c r="BL29" s="605"/>
      <c r="BM29" s="605"/>
      <c r="BN29" s="606"/>
      <c r="BO29" s="605"/>
    </row>
    <row r="30" spans="2:67" ht="14.4" x14ac:dyDescent="0.3">
      <c r="B30" s="604"/>
      <c r="C30" s="605"/>
      <c r="D30" s="605"/>
      <c r="E30" s="605"/>
      <c r="F30" s="605"/>
      <c r="G30" s="605"/>
      <c r="H30" s="605"/>
      <c r="I30" s="605"/>
      <c r="J30" s="605"/>
      <c r="K30" s="605"/>
      <c r="L30" s="605"/>
      <c r="M30" s="605"/>
      <c r="N30" s="605"/>
      <c r="O30" s="605"/>
      <c r="P30" s="605"/>
      <c r="Q30" s="605"/>
      <c r="R30" s="605"/>
      <c r="S30" s="605"/>
      <c r="T30" s="605"/>
      <c r="U30" s="605"/>
      <c r="V30" s="605"/>
      <c r="W30" s="605"/>
      <c r="X30" s="605"/>
      <c r="Y30" s="605"/>
      <c r="Z30" s="605"/>
      <c r="AA30" s="605"/>
      <c r="AB30" s="605"/>
      <c r="AC30" s="605"/>
      <c r="AD30" s="605"/>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6"/>
      <c r="BO30" s="605"/>
    </row>
    <row r="31" spans="2:67" ht="14.4" x14ac:dyDescent="0.3">
      <c r="B31" s="604"/>
      <c r="C31" s="605"/>
      <c r="D31" s="605"/>
      <c r="E31" s="605"/>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6"/>
      <c r="BO31" s="605"/>
    </row>
    <row r="32" spans="2:67" ht="14.4" x14ac:dyDescent="0.3">
      <c r="B32" s="604"/>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6"/>
      <c r="BO32" s="605"/>
    </row>
    <row r="33" spans="2:67" ht="14.4" x14ac:dyDescent="0.3">
      <c r="B33" s="604"/>
      <c r="C33" s="605"/>
      <c r="D33" s="605"/>
      <c r="E33" s="605"/>
      <c r="F33" s="605"/>
      <c r="G33" s="605"/>
      <c r="H33" s="605"/>
      <c r="I33" s="605"/>
      <c r="J33" s="605"/>
      <c r="K33" s="605"/>
      <c r="L33" s="605"/>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6"/>
      <c r="BO33" s="605"/>
    </row>
    <row r="34" spans="2:67" ht="14.4" x14ac:dyDescent="0.3">
      <c r="B34" s="604"/>
      <c r="C34" s="605"/>
      <c r="D34" s="605"/>
      <c r="E34" s="605"/>
      <c r="F34" s="605"/>
      <c r="G34" s="605"/>
      <c r="H34" s="605"/>
      <c r="I34" s="605"/>
      <c r="J34" s="605"/>
      <c r="K34" s="605"/>
      <c r="L34" s="605"/>
      <c r="M34" s="605"/>
      <c r="N34" s="605"/>
      <c r="O34" s="605"/>
      <c r="P34" s="605"/>
      <c r="Q34" s="605"/>
      <c r="R34" s="605"/>
      <c r="S34" s="605"/>
      <c r="T34" s="605"/>
      <c r="U34" s="605"/>
      <c r="V34" s="605"/>
      <c r="W34" s="605"/>
      <c r="X34" s="605"/>
      <c r="Y34" s="605"/>
      <c r="Z34" s="605"/>
      <c r="AA34" s="605"/>
      <c r="AB34" s="605"/>
      <c r="AC34" s="605"/>
      <c r="AD34" s="605"/>
      <c r="AE34" s="605"/>
      <c r="AF34" s="605"/>
      <c r="AG34" s="605"/>
      <c r="AH34" s="605"/>
      <c r="AI34" s="605"/>
      <c r="AJ34" s="605"/>
      <c r="AK34" s="605"/>
      <c r="AL34" s="605"/>
      <c r="AM34" s="605"/>
      <c r="AN34" s="605"/>
      <c r="AO34" s="605"/>
      <c r="AP34" s="605"/>
      <c r="AQ34" s="605"/>
      <c r="AR34" s="605"/>
      <c r="AS34" s="605"/>
      <c r="AT34" s="605"/>
      <c r="AU34" s="605"/>
      <c r="AV34" s="605"/>
      <c r="AW34" s="605"/>
      <c r="AX34" s="605"/>
      <c r="AY34" s="605"/>
      <c r="AZ34" s="605"/>
      <c r="BA34" s="605"/>
      <c r="BB34" s="605"/>
      <c r="BC34" s="605"/>
      <c r="BD34" s="605"/>
      <c r="BE34" s="605"/>
      <c r="BF34" s="605"/>
      <c r="BG34" s="605"/>
      <c r="BH34" s="605"/>
      <c r="BI34" s="605"/>
      <c r="BJ34" s="605"/>
      <c r="BK34" s="605"/>
      <c r="BL34" s="605"/>
      <c r="BM34" s="605"/>
      <c r="BN34" s="606"/>
      <c r="BO34" s="605"/>
    </row>
    <row r="35" spans="2:67" ht="14.4" x14ac:dyDescent="0.3">
      <c r="B35" s="604"/>
      <c r="C35" s="605"/>
      <c r="D35" s="605"/>
      <c r="E35" s="605"/>
      <c r="F35" s="605"/>
      <c r="G35" s="605"/>
      <c r="H35" s="605"/>
      <c r="I35" s="605"/>
      <c r="J35" s="605"/>
      <c r="K35" s="605"/>
      <c r="L35" s="605"/>
      <c r="M35" s="605"/>
      <c r="N35" s="605"/>
      <c r="O35" s="605"/>
      <c r="P35" s="605"/>
      <c r="Q35" s="605"/>
      <c r="R35" s="605"/>
      <c r="S35" s="605"/>
      <c r="T35" s="605"/>
      <c r="U35" s="605"/>
      <c r="V35" s="605"/>
      <c r="W35" s="605"/>
      <c r="X35" s="605"/>
      <c r="Y35" s="605"/>
      <c r="Z35" s="605"/>
      <c r="AA35" s="605"/>
      <c r="AB35" s="605"/>
      <c r="AC35" s="605"/>
      <c r="AD35" s="605"/>
      <c r="AE35" s="605"/>
      <c r="AF35" s="605"/>
      <c r="AG35" s="605"/>
      <c r="AH35" s="605"/>
      <c r="AI35" s="605"/>
      <c r="AJ35" s="605"/>
      <c r="AK35" s="605"/>
      <c r="AL35" s="605"/>
      <c r="AM35" s="605"/>
      <c r="AN35" s="605"/>
      <c r="AO35" s="605"/>
      <c r="AP35" s="605"/>
      <c r="AQ35" s="605"/>
      <c r="AR35" s="605"/>
      <c r="AS35" s="605"/>
      <c r="AT35" s="605"/>
      <c r="AU35" s="605"/>
      <c r="AV35" s="605"/>
      <c r="AW35" s="605"/>
      <c r="AX35" s="605"/>
      <c r="AY35" s="605"/>
      <c r="AZ35" s="605"/>
      <c r="BA35" s="605"/>
      <c r="BB35" s="605"/>
      <c r="BC35" s="605"/>
      <c r="BD35" s="605"/>
      <c r="BE35" s="605"/>
      <c r="BF35" s="605"/>
      <c r="BG35" s="605"/>
      <c r="BH35" s="605"/>
      <c r="BI35" s="605"/>
      <c r="BJ35" s="605"/>
      <c r="BK35" s="605"/>
      <c r="BL35" s="605"/>
      <c r="BM35" s="605"/>
      <c r="BN35" s="606"/>
      <c r="BO35" s="605"/>
    </row>
    <row r="36" spans="2:67" ht="14.4" x14ac:dyDescent="0.3">
      <c r="B36" s="604"/>
      <c r="C36" s="605"/>
      <c r="D36" s="605"/>
      <c r="E36" s="605"/>
      <c r="F36" s="605"/>
      <c r="G36" s="605"/>
      <c r="H36" s="605"/>
      <c r="I36" s="605"/>
      <c r="J36" s="605"/>
      <c r="K36" s="605"/>
      <c r="L36" s="605"/>
      <c r="M36" s="605"/>
      <c r="N36" s="605"/>
      <c r="O36" s="605"/>
      <c r="P36" s="605"/>
      <c r="Q36" s="605"/>
      <c r="R36" s="605"/>
      <c r="S36" s="605"/>
      <c r="T36" s="605"/>
      <c r="U36" s="605"/>
      <c r="V36" s="605"/>
      <c r="W36" s="605"/>
      <c r="X36" s="605"/>
      <c r="Y36" s="605"/>
      <c r="Z36" s="605"/>
      <c r="AA36" s="605"/>
      <c r="AB36" s="605"/>
      <c r="AC36" s="605"/>
      <c r="AD36" s="605"/>
      <c r="AE36" s="605"/>
      <c r="AF36" s="605"/>
      <c r="AG36" s="605"/>
      <c r="AH36" s="605"/>
      <c r="AI36" s="605"/>
      <c r="AJ36" s="605"/>
      <c r="AK36" s="605"/>
      <c r="AL36" s="605"/>
      <c r="AM36" s="605"/>
      <c r="AN36" s="605"/>
      <c r="AO36" s="605"/>
      <c r="AP36" s="605"/>
      <c r="AQ36" s="605"/>
      <c r="AR36" s="605"/>
      <c r="AS36" s="605"/>
      <c r="AT36" s="605"/>
      <c r="AU36" s="605"/>
      <c r="AV36" s="605"/>
      <c r="AW36" s="605"/>
      <c r="AX36" s="605"/>
      <c r="AY36" s="605"/>
      <c r="AZ36" s="605"/>
      <c r="BA36" s="605"/>
      <c r="BB36" s="605"/>
      <c r="BC36" s="605"/>
      <c r="BD36" s="605"/>
      <c r="BE36" s="605"/>
      <c r="BF36" s="605"/>
      <c r="BG36" s="605"/>
      <c r="BH36" s="605"/>
      <c r="BI36" s="605"/>
      <c r="BJ36" s="605"/>
      <c r="BK36" s="605"/>
      <c r="BL36" s="605"/>
      <c r="BM36" s="605"/>
      <c r="BN36" s="606"/>
      <c r="BO36" s="605"/>
    </row>
    <row r="37" spans="2:67" ht="14.4" x14ac:dyDescent="0.3">
      <c r="B37" s="604"/>
      <c r="C37" s="605"/>
      <c r="D37" s="605"/>
      <c r="E37" s="605"/>
      <c r="F37" s="605"/>
      <c r="G37" s="605"/>
      <c r="H37" s="605"/>
      <c r="I37" s="605"/>
      <c r="J37" s="605"/>
      <c r="K37" s="605"/>
      <c r="L37" s="605"/>
      <c r="M37" s="605"/>
      <c r="N37" s="605"/>
      <c r="O37" s="605"/>
      <c r="P37" s="605"/>
      <c r="Q37" s="605"/>
      <c r="R37" s="605"/>
      <c r="S37" s="605"/>
      <c r="T37" s="605"/>
      <c r="U37" s="605"/>
      <c r="V37" s="605"/>
      <c r="W37" s="605"/>
      <c r="X37" s="605"/>
      <c r="Y37" s="605"/>
      <c r="Z37" s="605"/>
      <c r="AA37" s="605"/>
      <c r="AB37" s="605"/>
      <c r="AC37" s="605"/>
      <c r="AD37" s="605"/>
      <c r="AE37" s="605"/>
      <c r="AF37" s="605"/>
      <c r="AG37" s="605"/>
      <c r="AH37" s="605"/>
      <c r="AI37" s="605"/>
      <c r="AJ37" s="605"/>
      <c r="AK37" s="605"/>
      <c r="AL37" s="605"/>
      <c r="AM37" s="605"/>
      <c r="AN37" s="605"/>
      <c r="AO37" s="605"/>
      <c r="AP37" s="605"/>
      <c r="AQ37" s="605"/>
      <c r="AR37" s="605"/>
      <c r="AS37" s="605"/>
      <c r="AT37" s="605"/>
      <c r="AU37" s="605"/>
      <c r="AV37" s="605"/>
      <c r="AW37" s="605"/>
      <c r="AX37" s="605"/>
      <c r="AY37" s="605"/>
      <c r="AZ37" s="605"/>
      <c r="BA37" s="605"/>
      <c r="BB37" s="605"/>
      <c r="BC37" s="605"/>
      <c r="BD37" s="605"/>
      <c r="BE37" s="605"/>
      <c r="BF37" s="605"/>
      <c r="BG37" s="605"/>
      <c r="BH37" s="605"/>
      <c r="BI37" s="605"/>
      <c r="BJ37" s="605"/>
      <c r="BK37" s="605"/>
      <c r="BL37" s="605"/>
      <c r="BM37" s="605"/>
      <c r="BN37" s="606"/>
      <c r="BO37" s="605"/>
    </row>
    <row r="38" spans="2:67" ht="14.4" x14ac:dyDescent="0.3">
      <c r="B38" s="604"/>
      <c r="C38" s="605"/>
      <c r="D38" s="605"/>
      <c r="E38" s="605"/>
      <c r="F38" s="605"/>
      <c r="G38" s="605"/>
      <c r="H38" s="605"/>
      <c r="I38" s="605"/>
      <c r="J38" s="605"/>
      <c r="K38" s="605"/>
      <c r="L38" s="605"/>
      <c r="M38" s="605"/>
      <c r="N38" s="605"/>
      <c r="O38" s="605"/>
      <c r="P38" s="605"/>
      <c r="Q38" s="605"/>
      <c r="R38" s="605"/>
      <c r="S38" s="605"/>
      <c r="T38" s="605"/>
      <c r="U38" s="605"/>
      <c r="V38" s="605"/>
      <c r="W38" s="605"/>
      <c r="X38" s="605"/>
      <c r="Y38" s="605"/>
      <c r="Z38" s="605"/>
      <c r="AA38" s="605"/>
      <c r="AB38" s="605"/>
      <c r="AC38" s="605"/>
      <c r="AD38" s="605"/>
      <c r="AE38" s="605"/>
      <c r="AF38" s="605"/>
      <c r="AG38" s="605"/>
      <c r="AH38" s="605"/>
      <c r="AI38" s="605"/>
      <c r="AJ38" s="605"/>
      <c r="AK38" s="605"/>
      <c r="AL38" s="605"/>
      <c r="AM38" s="605"/>
      <c r="AN38" s="605"/>
      <c r="AO38" s="605"/>
      <c r="AP38" s="605"/>
      <c r="AQ38" s="605"/>
      <c r="AR38" s="605"/>
      <c r="AS38" s="605"/>
      <c r="AT38" s="605"/>
      <c r="AU38" s="605"/>
      <c r="AV38" s="605"/>
      <c r="AW38" s="605"/>
      <c r="AX38" s="605"/>
      <c r="AY38" s="605"/>
      <c r="AZ38" s="605"/>
      <c r="BA38" s="605"/>
      <c r="BB38" s="605"/>
      <c r="BC38" s="605"/>
      <c r="BD38" s="605"/>
      <c r="BE38" s="605"/>
      <c r="BF38" s="605"/>
      <c r="BG38" s="605"/>
      <c r="BH38" s="605"/>
      <c r="BI38" s="605"/>
      <c r="BJ38" s="605"/>
      <c r="BK38" s="605"/>
      <c r="BL38" s="605"/>
      <c r="BM38" s="605"/>
      <c r="BN38" s="606"/>
      <c r="BO38" s="605"/>
    </row>
    <row r="39" spans="2:67" ht="14.4" x14ac:dyDescent="0.3">
      <c r="B39" s="604"/>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605"/>
      <c r="AA39" s="605"/>
      <c r="AB39" s="605"/>
      <c r="AC39" s="605"/>
      <c r="AD39" s="605"/>
      <c r="AE39" s="605"/>
      <c r="AF39" s="605"/>
      <c r="AG39" s="605"/>
      <c r="AH39" s="605"/>
      <c r="AI39" s="605"/>
      <c r="AJ39" s="605"/>
      <c r="AK39" s="605"/>
      <c r="AL39" s="605"/>
      <c r="AM39" s="605"/>
      <c r="AN39" s="605"/>
      <c r="AO39" s="605"/>
      <c r="AP39" s="605"/>
      <c r="AQ39" s="605"/>
      <c r="AR39" s="605"/>
      <c r="AS39" s="605"/>
      <c r="AT39" s="605"/>
      <c r="AU39" s="605"/>
      <c r="AV39" s="605"/>
      <c r="AW39" s="605"/>
      <c r="AX39" s="605"/>
      <c r="AY39" s="605"/>
      <c r="AZ39" s="605"/>
      <c r="BA39" s="605"/>
      <c r="BB39" s="605"/>
      <c r="BC39" s="605"/>
      <c r="BD39" s="605"/>
      <c r="BE39" s="605"/>
      <c r="BF39" s="605"/>
      <c r="BG39" s="605"/>
      <c r="BH39" s="605"/>
      <c r="BI39" s="605"/>
      <c r="BJ39" s="605"/>
      <c r="BK39" s="605"/>
      <c r="BL39" s="605"/>
      <c r="BM39" s="605"/>
      <c r="BN39" s="606"/>
      <c r="BO39" s="605"/>
    </row>
    <row r="40" spans="2:67" ht="51.75" customHeight="1" x14ac:dyDescent="0.3">
      <c r="B40" s="604"/>
      <c r="C40" s="605"/>
      <c r="D40" s="605"/>
      <c r="E40" s="605"/>
      <c r="F40" s="605"/>
      <c r="G40" s="605"/>
      <c r="H40" s="605"/>
      <c r="I40" s="605"/>
      <c r="J40" s="605"/>
      <c r="K40" s="605"/>
      <c r="L40" s="605"/>
      <c r="M40" s="605"/>
      <c r="N40" s="605"/>
      <c r="O40" s="605"/>
      <c r="P40" s="605"/>
      <c r="Q40" s="605"/>
      <c r="R40" s="605"/>
      <c r="S40" s="605"/>
      <c r="T40" s="605"/>
      <c r="U40" s="605"/>
      <c r="V40" s="605"/>
      <c r="W40" s="605"/>
      <c r="X40" s="605"/>
      <c r="Y40" s="605"/>
      <c r="Z40" s="605"/>
      <c r="AA40" s="605"/>
      <c r="AB40" s="605"/>
      <c r="AC40" s="605"/>
      <c r="AD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6"/>
      <c r="BO40" s="605"/>
    </row>
    <row r="41" spans="2:67" ht="51.75" customHeight="1" x14ac:dyDescent="0.3">
      <c r="B41" s="604"/>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5"/>
      <c r="AI41" s="605"/>
      <c r="AJ41" s="605"/>
      <c r="AK41" s="605"/>
      <c r="AL41" s="605"/>
      <c r="AM41" s="605"/>
      <c r="AN41" s="605"/>
      <c r="AO41" s="605"/>
      <c r="AP41" s="605"/>
      <c r="AQ41" s="605"/>
      <c r="AR41" s="605"/>
      <c r="AS41" s="605"/>
      <c r="AT41" s="605"/>
      <c r="AU41" s="605"/>
      <c r="AV41" s="605"/>
      <c r="AW41" s="605"/>
      <c r="AX41" s="605"/>
      <c r="AY41" s="605"/>
      <c r="AZ41" s="605"/>
      <c r="BA41" s="605"/>
      <c r="BB41" s="605"/>
      <c r="BC41" s="605"/>
      <c r="BD41" s="605"/>
      <c r="BE41" s="605"/>
      <c r="BF41" s="605"/>
      <c r="BG41" s="605"/>
      <c r="BH41" s="605"/>
      <c r="BI41" s="605"/>
      <c r="BJ41" s="605"/>
      <c r="BK41" s="605"/>
      <c r="BL41" s="605"/>
      <c r="BM41" s="605"/>
      <c r="BN41" s="606"/>
      <c r="BO41" s="605"/>
    </row>
  </sheetData>
  <mergeCells count="26">
    <mergeCell ref="B1:BN1"/>
    <mergeCell ref="B2:B3"/>
    <mergeCell ref="C2:C3"/>
    <mergeCell ref="D2:D3"/>
    <mergeCell ref="E2:E3"/>
    <mergeCell ref="F2:F3"/>
    <mergeCell ref="G2:I2"/>
    <mergeCell ref="J2:L2"/>
    <mergeCell ref="S2:U2"/>
    <mergeCell ref="V2:X2"/>
    <mergeCell ref="Y2:AA2"/>
    <mergeCell ref="AB2:AD2"/>
    <mergeCell ref="AE2:AG2"/>
    <mergeCell ref="AH2:AJ2"/>
    <mergeCell ref="BL2:BN2"/>
    <mergeCell ref="AW2:AY2"/>
    <mergeCell ref="M2:O2"/>
    <mergeCell ref="P2:R2"/>
    <mergeCell ref="BI2:BK2"/>
    <mergeCell ref="AQ2:AS2"/>
    <mergeCell ref="AN2:AP2"/>
    <mergeCell ref="AZ2:BB2"/>
    <mergeCell ref="AK2:AM2"/>
    <mergeCell ref="AT2:AV2"/>
    <mergeCell ref="BC2:BE2"/>
    <mergeCell ref="BF2:BH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data!$A$2:$A$15</xm:f>
          </x14:formula1>
          <xm:sqref>D1:D1048576</xm:sqref>
        </x14:dataValidation>
        <x14:dataValidation type="list" allowBlank="1" showInputMessage="1" showErrorMessage="1">
          <x14:formula1>
            <xm:f>data!$A$2:$A$20</xm:f>
          </x14:formula1>
          <xm:sqref>C17:C1048576 C1:C12</xm:sqref>
        </x14:dataValidation>
        <x14:dataValidation type="list" allowBlank="1" showInputMessage="1" showErrorMessage="1">
          <x14:formula1>
            <xm:f>data!$A$2:$A$21</xm:f>
          </x14:formula1>
          <xm:sqref>C13</xm:sqref>
        </x14:dataValidation>
        <x14:dataValidation type="list" allowBlank="1" showInputMessage="1" showErrorMessage="1">
          <x14:formula1>
            <xm:f>data!$A$2:$A$22</xm:f>
          </x14:formula1>
          <xm:sqref>C14:C16</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P280"/>
  <sheetViews>
    <sheetView showGridLines="0" showZeros="0" zoomScaleNormal="100" workbookViewId="0">
      <selection activeCell="D259" sqref="D259:D264"/>
    </sheetView>
  </sheetViews>
  <sheetFormatPr defaultColWidth="8.88671875" defaultRowHeight="14.4" x14ac:dyDescent="0.3"/>
  <cols>
    <col min="1" max="1" width="1.33203125" style="569" customWidth="1"/>
    <col min="2" max="3" width="18.6640625" style="594" customWidth="1"/>
    <col min="4" max="4" width="15" style="590" customWidth="1"/>
    <col min="5" max="5" width="26.109375" style="590" customWidth="1"/>
    <col min="6" max="6" width="13" style="590" customWidth="1"/>
    <col min="7" max="7" width="17.33203125" style="590" bestFit="1" customWidth="1"/>
    <col min="8" max="8" width="38.88671875" style="590" bestFit="1" customWidth="1"/>
    <col min="9" max="9" width="20.6640625" style="569" bestFit="1" customWidth="1"/>
    <col min="10" max="11" width="11" style="569" customWidth="1"/>
    <col min="12" max="27" width="11" style="568" customWidth="1"/>
    <col min="28" max="28" width="22.6640625" style="568" customWidth="1"/>
    <col min="29" max="45" width="22.6640625" style="568" hidden="1" customWidth="1"/>
    <col min="46" max="46" width="22.6640625" style="568" customWidth="1"/>
    <col min="47" max="47" width="22.6640625" style="569" customWidth="1"/>
    <col min="48" max="48" width="67.33203125" style="569" bestFit="1" customWidth="1"/>
    <col min="49" max="120" width="8.88671875" style="197"/>
    <col min="121" max="16384" width="8.88671875" style="569"/>
  </cols>
  <sheetData>
    <row r="1" spans="2:119" ht="7.95" customHeight="1" x14ac:dyDescent="0.3"/>
    <row r="2" spans="2:119" ht="33" customHeight="1" x14ac:dyDescent="0.3">
      <c r="B2" s="810" t="s">
        <v>414</v>
      </c>
      <c r="C2" s="810"/>
      <c r="D2" s="810"/>
      <c r="E2" s="810"/>
      <c r="F2" s="810"/>
      <c r="G2" s="810"/>
      <c r="H2" s="810"/>
      <c r="I2" s="810"/>
      <c r="J2" s="810"/>
      <c r="K2" s="810"/>
      <c r="L2" s="810"/>
      <c r="M2" s="810"/>
      <c r="N2" s="810"/>
      <c r="O2" s="810"/>
      <c r="P2" s="810"/>
      <c r="Q2" s="810" t="s">
        <v>541</v>
      </c>
      <c r="R2" s="810"/>
      <c r="S2" s="810"/>
      <c r="T2" s="810"/>
      <c r="U2" s="810"/>
      <c r="V2" s="810"/>
      <c r="W2" s="810" t="s">
        <v>1222</v>
      </c>
      <c r="X2" s="810"/>
      <c r="Y2" s="810"/>
      <c r="Z2" s="810"/>
      <c r="AA2" s="810"/>
      <c r="AB2" s="810"/>
      <c r="AC2" s="810"/>
      <c r="AD2" s="810"/>
      <c r="AE2" s="810"/>
      <c r="AF2" s="810"/>
      <c r="AG2" s="810"/>
      <c r="AH2" s="810"/>
      <c r="AI2" s="810"/>
      <c r="AJ2" s="810"/>
      <c r="AK2" s="810"/>
      <c r="AL2" s="810"/>
      <c r="AM2" s="810"/>
      <c r="AN2" s="810"/>
      <c r="AO2" s="810"/>
      <c r="AP2" s="810"/>
      <c r="AQ2" s="810"/>
      <c r="AR2" s="810"/>
      <c r="AS2" s="810"/>
      <c r="AT2" s="810"/>
      <c r="AU2" s="810"/>
      <c r="AV2" s="595"/>
    </row>
    <row r="3" spans="2:119" ht="18" customHeight="1" x14ac:dyDescent="0.3">
      <c r="B3" s="811">
        <f>Definition!B23</f>
        <v>43191</v>
      </c>
      <c r="C3" s="811"/>
      <c r="D3" s="811"/>
      <c r="E3" s="811"/>
      <c r="F3" s="811"/>
      <c r="G3" s="811"/>
      <c r="H3" s="811"/>
      <c r="I3" s="811"/>
      <c r="J3" s="811"/>
      <c r="K3" s="811"/>
      <c r="L3" s="811"/>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595"/>
    </row>
    <row r="4" spans="2:119" ht="18" hidden="1" customHeight="1" x14ac:dyDescent="0.3">
      <c r="B4" s="809"/>
      <c r="C4" s="809"/>
      <c r="D4" s="809"/>
      <c r="E4" s="809"/>
      <c r="F4" s="570"/>
      <c r="G4" s="570"/>
      <c r="H4" s="570"/>
      <c r="I4" s="571"/>
      <c r="J4" s="571"/>
      <c r="K4" s="571"/>
      <c r="L4" s="572"/>
      <c r="M4" s="572"/>
      <c r="N4" s="572"/>
      <c r="P4" s="572"/>
      <c r="Q4" s="572"/>
      <c r="R4" s="572"/>
      <c r="S4" s="572"/>
      <c r="T4" s="572"/>
      <c r="U4" s="572"/>
      <c r="V4" s="572"/>
      <c r="W4" s="572"/>
      <c r="X4" s="572"/>
      <c r="Y4" s="572"/>
      <c r="Z4" s="572"/>
      <c r="AA4" s="572"/>
      <c r="AB4" s="572"/>
      <c r="AC4" s="572"/>
      <c r="AD4" s="572"/>
      <c r="AE4" s="572"/>
      <c r="AF4" s="573"/>
      <c r="AG4" s="572"/>
      <c r="AH4" s="572"/>
    </row>
    <row r="5" spans="2:119" s="574" customFormat="1" ht="69.75" customHeight="1" x14ac:dyDescent="0.3">
      <c r="B5" s="692" t="s">
        <v>408</v>
      </c>
      <c r="C5" s="596" t="s">
        <v>1675</v>
      </c>
      <c r="D5" s="597" t="s">
        <v>1304</v>
      </c>
      <c r="E5" s="597" t="s">
        <v>409</v>
      </c>
      <c r="F5" s="597" t="s">
        <v>392</v>
      </c>
      <c r="G5" s="597" t="s">
        <v>0</v>
      </c>
      <c r="H5" s="597" t="s">
        <v>1538</v>
      </c>
      <c r="I5" s="596" t="s">
        <v>1386</v>
      </c>
      <c r="J5" s="596" t="s">
        <v>421</v>
      </c>
      <c r="K5" s="596" t="s">
        <v>1610</v>
      </c>
      <c r="L5" s="596" t="s">
        <v>400</v>
      </c>
      <c r="M5" s="596" t="s">
        <v>422</v>
      </c>
      <c r="N5" s="596" t="s">
        <v>536</v>
      </c>
      <c r="O5" s="596" t="s">
        <v>423</v>
      </c>
      <c r="P5" s="596" t="s">
        <v>415</v>
      </c>
      <c r="Q5" s="596" t="s">
        <v>416</v>
      </c>
      <c r="R5" s="596" t="s">
        <v>1016</v>
      </c>
      <c r="S5" s="596" t="s">
        <v>525</v>
      </c>
      <c r="T5" s="596" t="s">
        <v>526</v>
      </c>
      <c r="U5" s="596" t="s">
        <v>850</v>
      </c>
      <c r="V5" s="596" t="s">
        <v>854</v>
      </c>
      <c r="W5" s="596" t="s">
        <v>858</v>
      </c>
      <c r="X5" s="596" t="s">
        <v>947</v>
      </c>
      <c r="Y5" s="596" t="s">
        <v>1073</v>
      </c>
      <c r="Z5" s="596" t="s">
        <v>1407</v>
      </c>
      <c r="AA5" s="596" t="s">
        <v>1085</v>
      </c>
      <c r="AB5" s="596" t="s">
        <v>1086</v>
      </c>
      <c r="AC5" s="596" t="s">
        <v>965</v>
      </c>
      <c r="AD5" s="596" t="s">
        <v>966</v>
      </c>
      <c r="AE5" s="596" t="s">
        <v>967</v>
      </c>
      <c r="AF5" s="596" t="s">
        <v>968</v>
      </c>
      <c r="AG5" s="596" t="s">
        <v>970</v>
      </c>
      <c r="AH5" s="596" t="s">
        <v>969</v>
      </c>
      <c r="AI5" s="596" t="s">
        <v>1017</v>
      </c>
      <c r="AJ5" s="596" t="s">
        <v>971</v>
      </c>
      <c r="AK5" s="596" t="s">
        <v>972</v>
      </c>
      <c r="AL5" s="596" t="s">
        <v>973</v>
      </c>
      <c r="AM5" s="596" t="s">
        <v>974</v>
      </c>
      <c r="AN5" s="596" t="s">
        <v>975</v>
      </c>
      <c r="AO5" s="596" t="s">
        <v>976</v>
      </c>
      <c r="AP5" s="596" t="s">
        <v>979</v>
      </c>
      <c r="AQ5" s="596" t="s">
        <v>1074</v>
      </c>
      <c r="AR5" s="596" t="s">
        <v>1168</v>
      </c>
      <c r="AS5" s="596" t="s">
        <v>1169</v>
      </c>
      <c r="AT5" s="596" t="s">
        <v>511</v>
      </c>
      <c r="AU5" s="596" t="s">
        <v>456</v>
      </c>
      <c r="AV5" s="578"/>
      <c r="AW5" s="578"/>
      <c r="AX5" s="578"/>
      <c r="AY5" s="578"/>
      <c r="AZ5" s="578"/>
      <c r="BA5" s="578"/>
      <c r="BB5" s="578"/>
      <c r="BC5" s="578"/>
      <c r="BD5" s="578"/>
      <c r="BE5" s="578"/>
      <c r="BF5" s="578"/>
      <c r="BG5" s="578"/>
      <c r="BH5" s="578"/>
      <c r="BI5" s="578"/>
      <c r="BJ5" s="578"/>
      <c r="BK5" s="578"/>
      <c r="BL5" s="578"/>
      <c r="BM5" s="578"/>
      <c r="BN5" s="578"/>
      <c r="BO5" s="578"/>
      <c r="BP5" s="578"/>
      <c r="BQ5" s="578"/>
      <c r="BR5" s="578"/>
      <c r="BS5" s="578"/>
      <c r="BT5" s="578"/>
      <c r="BU5" s="578"/>
      <c r="BV5" s="578"/>
      <c r="BW5" s="578"/>
      <c r="BX5" s="578"/>
      <c r="BY5" s="578"/>
      <c r="BZ5" s="578"/>
      <c r="CA5" s="578"/>
      <c r="CB5" s="578"/>
      <c r="CC5" s="578"/>
      <c r="CD5" s="578"/>
      <c r="CE5" s="578"/>
      <c r="CF5" s="578"/>
      <c r="CG5" s="578"/>
      <c r="CH5" s="578"/>
      <c r="CI5" s="578"/>
      <c r="CJ5" s="578"/>
      <c r="CK5" s="578"/>
      <c r="CL5" s="578"/>
      <c r="CM5" s="578"/>
      <c r="CN5" s="578"/>
      <c r="CO5" s="578"/>
      <c r="CP5" s="578"/>
      <c r="CQ5" s="578"/>
      <c r="CR5" s="578"/>
      <c r="CS5" s="578"/>
      <c r="CT5" s="578"/>
      <c r="CU5" s="578"/>
      <c r="CV5" s="578"/>
      <c r="CW5" s="578"/>
      <c r="CX5" s="578"/>
      <c r="CY5" s="578"/>
      <c r="CZ5" s="578"/>
      <c r="DA5" s="578"/>
      <c r="DB5" s="578"/>
      <c r="DC5" s="578"/>
      <c r="DD5" s="578"/>
      <c r="DE5" s="578"/>
      <c r="DF5" s="578"/>
      <c r="DG5" s="578"/>
      <c r="DH5" s="578"/>
      <c r="DI5" s="578"/>
      <c r="DJ5" s="578"/>
      <c r="DK5" s="578"/>
      <c r="DL5" s="578"/>
      <c r="DM5" s="578"/>
      <c r="DN5" s="578"/>
      <c r="DO5" s="578"/>
    </row>
    <row r="6" spans="2:119" s="574" customFormat="1" ht="18.75" hidden="1" customHeight="1" x14ac:dyDescent="0.3">
      <c r="B6" s="575">
        <v>42737</v>
      </c>
      <c r="C6" s="575" t="str">
        <f>MONTH(Table_NFI[[#This Row],[Distribution Date]]) &amp; "/" &amp; YEAR(Table_NFI[[#This Row],[Distribution Date]])</f>
        <v>1/2017</v>
      </c>
      <c r="D6" s="213" t="s">
        <v>420</v>
      </c>
      <c r="E6" s="213" t="s">
        <v>424</v>
      </c>
      <c r="F6" s="213" t="s">
        <v>378</v>
      </c>
      <c r="G6" s="213" t="s">
        <v>309</v>
      </c>
      <c r="H6" s="213" t="s">
        <v>323</v>
      </c>
      <c r="I6" s="197"/>
      <c r="J6" s="576"/>
      <c r="K6" s="576"/>
      <c r="L6" s="576"/>
      <c r="M6" s="576"/>
      <c r="N6" s="576"/>
      <c r="O6" s="576"/>
      <c r="P6" s="576"/>
      <c r="Q6" s="576"/>
      <c r="R6" s="576"/>
      <c r="S6" s="576"/>
      <c r="T6" s="576"/>
      <c r="U6" s="576"/>
      <c r="V6" s="576"/>
      <c r="W6" s="576"/>
      <c r="X6" s="576"/>
      <c r="Y6" s="576"/>
      <c r="Z6" s="576"/>
      <c r="AA6" s="576"/>
      <c r="AB6" s="576">
        <v>17</v>
      </c>
      <c r="AC6" s="577" t="e">
        <f>IF(NFI_Expiration=1,IF(#REF!&lt;VLOOKUP(L$5,NFI,5,0),1,0)*Table_NFI[[#This Row],[NFI Core Kit]],Table_NFI[NFI Core Kit])</f>
        <v>#REF!</v>
      </c>
      <c r="AD6" s="577" t="e">
        <f>IF(NFI_Expiration=1,IF(#REF!&lt;VLOOKUP(M$5,NFI,5,0),1,0)*Table_NFI[[#This Row],[Sanitary Kit]],Table_NFI[Sanitary Kit])</f>
        <v>#REF!</v>
      </c>
      <c r="AE6" s="577" t="e">
        <f>IF(NFI_Expiration=1,IF(#REF!&lt;VLOOKUP(N$5,NFI,5,0),1,0)*Table_NFI[[#This Row],[Mosquito net]],Table_NFI[Mosquito net])</f>
        <v>#REF!</v>
      </c>
      <c r="AF6" s="577"/>
      <c r="AG6" s="577"/>
      <c r="AH6" s="577"/>
      <c r="AI6" s="577"/>
      <c r="AJ6" s="577"/>
      <c r="AK6" s="577"/>
      <c r="AL6" s="577"/>
      <c r="AM6" s="577"/>
      <c r="AN6" s="577"/>
      <c r="AO6" s="577"/>
      <c r="AP6" s="577">
        <f>IF(Table_NFI[[#This Row],[Winter Clothes Adult]]+Table_NFI[[#This Row],[Winter Clothes Children]]+Table_NFI[[#This Row],[Winter Items Other]]+Table_NFI[[#This Row],[Winter Blanket]]&gt;0,1,0)</f>
        <v>0</v>
      </c>
      <c r="AQ6" s="577"/>
      <c r="AR6" s="577"/>
      <c r="AS6" s="577"/>
      <c r="AT6" s="220" t="str">
        <f>IFERROR(VLOOKUP(Table_NFI[[#This Row],[Location]],CL,2,0),"")</f>
        <v>MMR001CMP040</v>
      </c>
      <c r="AU6" s="197" t="s">
        <v>1240</v>
      </c>
      <c r="AV6" s="578"/>
      <c r="AW6" s="578"/>
      <c r="AX6" s="578"/>
      <c r="AY6" s="578"/>
      <c r="AZ6" s="578"/>
      <c r="BA6" s="578"/>
      <c r="BB6" s="578"/>
      <c r="BC6" s="578"/>
      <c r="BD6" s="578"/>
      <c r="BE6" s="578"/>
      <c r="BF6" s="578"/>
      <c r="BG6" s="578"/>
      <c r="BH6" s="578"/>
      <c r="BI6" s="578"/>
      <c r="BJ6" s="578"/>
      <c r="BK6" s="578"/>
      <c r="BL6" s="578"/>
      <c r="BM6" s="578"/>
      <c r="BN6" s="578"/>
      <c r="BO6" s="578"/>
      <c r="BP6" s="578"/>
      <c r="BQ6" s="578"/>
      <c r="BR6" s="578"/>
      <c r="BS6" s="578"/>
      <c r="BT6" s="578"/>
      <c r="BU6" s="578"/>
      <c r="BV6" s="578"/>
      <c r="BW6" s="578"/>
      <c r="BX6" s="578"/>
      <c r="BY6" s="578"/>
      <c r="BZ6" s="578"/>
      <c r="CA6" s="578"/>
      <c r="CB6" s="578"/>
      <c r="CC6" s="578"/>
      <c r="CD6" s="578"/>
      <c r="CE6" s="578"/>
      <c r="CF6" s="578"/>
      <c r="CG6" s="578"/>
      <c r="CH6" s="578"/>
      <c r="CI6" s="578"/>
      <c r="CJ6" s="578"/>
      <c r="CK6" s="578"/>
      <c r="CL6" s="578"/>
      <c r="CM6" s="578"/>
      <c r="CN6" s="578"/>
      <c r="CO6" s="578"/>
      <c r="CP6" s="578"/>
      <c r="CQ6" s="578"/>
      <c r="CR6" s="578"/>
      <c r="CS6" s="578"/>
      <c r="CT6" s="578"/>
      <c r="CU6" s="578"/>
      <c r="CV6" s="578"/>
      <c r="CW6" s="578"/>
      <c r="CX6" s="578"/>
      <c r="CY6" s="578"/>
      <c r="CZ6" s="578"/>
      <c r="DA6" s="578"/>
      <c r="DB6" s="578"/>
      <c r="DC6" s="578"/>
      <c r="DD6" s="578"/>
      <c r="DE6" s="578"/>
      <c r="DF6" s="578"/>
      <c r="DG6" s="578"/>
      <c r="DH6" s="578"/>
      <c r="DI6" s="578"/>
      <c r="DJ6" s="578"/>
      <c r="DK6" s="578"/>
      <c r="DL6" s="578"/>
      <c r="DM6" s="578"/>
      <c r="DN6" s="578"/>
      <c r="DO6" s="578"/>
    </row>
    <row r="7" spans="2:119" s="574" customFormat="1" ht="18.75" hidden="1" customHeight="1" x14ac:dyDescent="0.3">
      <c r="B7" s="575">
        <v>42745</v>
      </c>
      <c r="C7" s="575" t="str">
        <f>MONTH(Table_NFI[[#This Row],[Distribution Date]]) &amp; "/" &amp; YEAR(Table_NFI[[#This Row],[Distribution Date]])</f>
        <v>1/2017</v>
      </c>
      <c r="D7" s="213" t="s">
        <v>420</v>
      </c>
      <c r="E7" s="213" t="s">
        <v>1089</v>
      </c>
      <c r="F7" s="213" t="s">
        <v>378</v>
      </c>
      <c r="G7" s="213" t="s">
        <v>237</v>
      </c>
      <c r="H7" s="213" t="s">
        <v>254</v>
      </c>
      <c r="I7" s="197"/>
      <c r="J7" s="576"/>
      <c r="K7" s="576"/>
      <c r="L7" s="576">
        <v>1</v>
      </c>
      <c r="M7" s="576">
        <v>1</v>
      </c>
      <c r="N7" s="576">
        <v>4</v>
      </c>
      <c r="O7" s="576">
        <v>1</v>
      </c>
      <c r="P7" s="576">
        <v>4</v>
      </c>
      <c r="Q7" s="576">
        <v>1</v>
      </c>
      <c r="R7" s="576"/>
      <c r="S7" s="576">
        <v>1</v>
      </c>
      <c r="T7" s="576">
        <v>4</v>
      </c>
      <c r="U7" s="576"/>
      <c r="V7" s="576"/>
      <c r="W7" s="576"/>
      <c r="X7" s="576"/>
      <c r="Y7" s="576">
        <v>1</v>
      </c>
      <c r="Z7" s="576"/>
      <c r="AA7" s="576"/>
      <c r="AB7" s="576"/>
      <c r="AC7" s="577"/>
      <c r="AD7" s="577"/>
      <c r="AE7" s="577"/>
      <c r="AF7" s="577"/>
      <c r="AG7" s="577"/>
      <c r="AH7" s="577"/>
      <c r="AI7" s="577"/>
      <c r="AJ7" s="577"/>
      <c r="AK7" s="577"/>
      <c r="AL7" s="577"/>
      <c r="AM7" s="577"/>
      <c r="AN7" s="577"/>
      <c r="AO7" s="577"/>
      <c r="AP7" s="577"/>
      <c r="AQ7" s="577"/>
      <c r="AR7" s="577"/>
      <c r="AS7" s="577"/>
      <c r="AT7" s="220" t="str">
        <f>IFERROR(VLOOKUP(Table_NFI[[#This Row],[Location]],CL,2,0),"")</f>
        <v>MMR001CMP019</v>
      </c>
      <c r="AU7" s="197" t="s">
        <v>1240</v>
      </c>
      <c r="AV7" s="578"/>
      <c r="AW7" s="578"/>
      <c r="AX7" s="578"/>
      <c r="AY7" s="578"/>
      <c r="AZ7" s="578"/>
      <c r="BA7" s="578"/>
      <c r="BB7" s="578"/>
      <c r="BC7" s="578"/>
      <c r="BD7" s="578"/>
      <c r="BE7" s="578"/>
      <c r="BF7" s="578"/>
      <c r="BG7" s="578"/>
      <c r="BH7" s="578"/>
      <c r="BI7" s="578"/>
      <c r="BJ7" s="578"/>
      <c r="BK7" s="578"/>
      <c r="BL7" s="578"/>
      <c r="BM7" s="578"/>
      <c r="BN7" s="578"/>
      <c r="BO7" s="578"/>
      <c r="BP7" s="578"/>
      <c r="BQ7" s="578"/>
      <c r="BR7" s="578"/>
      <c r="BS7" s="578"/>
      <c r="BT7" s="578"/>
      <c r="BU7" s="578"/>
      <c r="BV7" s="578"/>
      <c r="BW7" s="578"/>
      <c r="BX7" s="578"/>
      <c r="BY7" s="578"/>
      <c r="BZ7" s="578"/>
      <c r="CA7" s="578"/>
      <c r="CB7" s="578"/>
      <c r="CC7" s="578"/>
      <c r="CD7" s="578"/>
      <c r="CE7" s="578"/>
      <c r="CF7" s="578"/>
      <c r="CG7" s="578"/>
      <c r="CH7" s="578"/>
      <c r="CI7" s="578"/>
      <c r="CJ7" s="578"/>
      <c r="CK7" s="578"/>
      <c r="CL7" s="578"/>
      <c r="CM7" s="578"/>
      <c r="CN7" s="578"/>
      <c r="CO7" s="578"/>
      <c r="CP7" s="578"/>
      <c r="CQ7" s="578"/>
      <c r="CR7" s="578"/>
      <c r="CS7" s="578"/>
      <c r="CT7" s="578"/>
      <c r="CU7" s="578"/>
      <c r="CV7" s="578"/>
      <c r="CW7" s="578"/>
      <c r="CX7" s="578"/>
      <c r="CY7" s="578"/>
      <c r="CZ7" s="578"/>
      <c r="DA7" s="578"/>
      <c r="DB7" s="578"/>
      <c r="DC7" s="578"/>
      <c r="DD7" s="578"/>
      <c r="DE7" s="578"/>
      <c r="DF7" s="578"/>
      <c r="DG7" s="578"/>
      <c r="DH7" s="578"/>
      <c r="DI7" s="578"/>
      <c r="DJ7" s="578"/>
      <c r="DK7" s="578"/>
      <c r="DL7" s="578"/>
      <c r="DM7" s="578"/>
      <c r="DN7" s="578"/>
      <c r="DO7" s="578"/>
    </row>
    <row r="8" spans="2:119" s="574" customFormat="1" ht="18.75" hidden="1" customHeight="1" x14ac:dyDescent="0.3">
      <c r="B8" s="575">
        <v>42745</v>
      </c>
      <c r="C8" s="575" t="str">
        <f>MONTH(Table_NFI[[#This Row],[Distribution Date]]) &amp; "/" &amp; YEAR(Table_NFI[[#This Row],[Distribution Date]])</f>
        <v>1/2017</v>
      </c>
      <c r="D8" s="213" t="s">
        <v>420</v>
      </c>
      <c r="E8" s="213" t="s">
        <v>1089</v>
      </c>
      <c r="F8" s="213" t="s">
        <v>378</v>
      </c>
      <c r="G8" s="213" t="s">
        <v>309</v>
      </c>
      <c r="H8" s="213" t="s">
        <v>329</v>
      </c>
      <c r="I8" s="197"/>
      <c r="J8" s="576"/>
      <c r="K8" s="576"/>
      <c r="L8" s="576">
        <v>6</v>
      </c>
      <c r="M8" s="576">
        <v>6</v>
      </c>
      <c r="N8" s="576">
        <v>10</v>
      </c>
      <c r="O8" s="576">
        <v>6</v>
      </c>
      <c r="P8" s="576">
        <v>18</v>
      </c>
      <c r="Q8" s="576">
        <v>6</v>
      </c>
      <c r="R8" s="576"/>
      <c r="S8" s="576">
        <v>6</v>
      </c>
      <c r="T8" s="576">
        <v>17</v>
      </c>
      <c r="U8" s="576"/>
      <c r="V8" s="576"/>
      <c r="W8" s="576"/>
      <c r="X8" s="576"/>
      <c r="Y8" s="576">
        <v>6</v>
      </c>
      <c r="Z8" s="576"/>
      <c r="AA8" s="576"/>
      <c r="AB8" s="576"/>
      <c r="AC8" s="577"/>
      <c r="AD8" s="577"/>
      <c r="AE8" s="577"/>
      <c r="AF8" s="577"/>
      <c r="AG8" s="577"/>
      <c r="AH8" s="577"/>
      <c r="AI8" s="577"/>
      <c r="AJ8" s="577"/>
      <c r="AK8" s="577"/>
      <c r="AL8" s="577"/>
      <c r="AM8" s="577"/>
      <c r="AN8" s="577"/>
      <c r="AO8" s="577"/>
      <c r="AP8" s="577"/>
      <c r="AQ8" s="577"/>
      <c r="AR8" s="577"/>
      <c r="AS8" s="577"/>
      <c r="AT8" s="220" t="str">
        <f>IFERROR(VLOOKUP(Table_NFI[[#This Row],[Location]],CL,2,0),"")</f>
        <v>MMR001CMP029</v>
      </c>
      <c r="AU8" s="197" t="s">
        <v>1240</v>
      </c>
      <c r="AV8" s="578"/>
      <c r="AW8" s="578"/>
      <c r="AX8" s="578"/>
      <c r="AY8" s="578"/>
      <c r="AZ8" s="578"/>
      <c r="BA8" s="578"/>
      <c r="BB8" s="578"/>
      <c r="BC8" s="578"/>
      <c r="BD8" s="578"/>
      <c r="BE8" s="578"/>
      <c r="BF8" s="578"/>
      <c r="BG8" s="578"/>
      <c r="BH8" s="578"/>
      <c r="BI8" s="578"/>
      <c r="BJ8" s="578"/>
      <c r="BK8" s="578"/>
      <c r="BL8" s="578"/>
      <c r="BM8" s="578"/>
      <c r="BN8" s="578"/>
      <c r="BO8" s="578"/>
      <c r="BP8" s="578"/>
      <c r="BQ8" s="578"/>
      <c r="BR8" s="578"/>
      <c r="BS8" s="578"/>
      <c r="BT8" s="578"/>
      <c r="BU8" s="578"/>
      <c r="BV8" s="578"/>
      <c r="BW8" s="578"/>
      <c r="BX8" s="578"/>
      <c r="BY8" s="578"/>
      <c r="BZ8" s="578"/>
      <c r="CA8" s="578"/>
      <c r="CB8" s="578"/>
      <c r="CC8" s="578"/>
      <c r="CD8" s="578"/>
      <c r="CE8" s="578"/>
      <c r="CF8" s="578"/>
      <c r="CG8" s="578"/>
      <c r="CH8" s="578"/>
      <c r="CI8" s="578"/>
      <c r="CJ8" s="578"/>
      <c r="CK8" s="578"/>
      <c r="CL8" s="578"/>
      <c r="CM8" s="578"/>
      <c r="CN8" s="578"/>
      <c r="CO8" s="578"/>
      <c r="CP8" s="578"/>
      <c r="CQ8" s="578"/>
      <c r="CR8" s="578"/>
      <c r="CS8" s="578"/>
      <c r="CT8" s="578"/>
      <c r="CU8" s="578"/>
      <c r="CV8" s="578"/>
      <c r="CW8" s="578"/>
      <c r="CX8" s="578"/>
      <c r="CY8" s="578"/>
      <c r="CZ8" s="578"/>
      <c r="DA8" s="578"/>
      <c r="DB8" s="578"/>
      <c r="DC8" s="578"/>
      <c r="DD8" s="578"/>
      <c r="DE8" s="578"/>
      <c r="DF8" s="578"/>
      <c r="DG8" s="578"/>
      <c r="DH8" s="578"/>
      <c r="DI8" s="578"/>
      <c r="DJ8" s="578"/>
      <c r="DK8" s="578"/>
      <c r="DL8" s="578"/>
      <c r="DM8" s="578"/>
      <c r="DN8" s="578"/>
      <c r="DO8" s="578"/>
    </row>
    <row r="9" spans="2:119" s="574" customFormat="1" ht="18.75" hidden="1" customHeight="1" x14ac:dyDescent="0.3">
      <c r="B9" s="575">
        <v>42750</v>
      </c>
      <c r="C9" s="575" t="str">
        <f>MONTH(Table_NFI[[#This Row],[Distribution Date]]) &amp; "/" &amp; YEAR(Table_NFI[[#This Row],[Distribution Date]])</f>
        <v>1/2017</v>
      </c>
      <c r="D9" s="213" t="s">
        <v>420</v>
      </c>
      <c r="E9" s="213" t="s">
        <v>424</v>
      </c>
      <c r="F9" s="213" t="s">
        <v>378</v>
      </c>
      <c r="G9" s="213" t="s">
        <v>151</v>
      </c>
      <c r="H9" s="213" t="s">
        <v>802</v>
      </c>
      <c r="I9" s="197"/>
      <c r="J9" s="576"/>
      <c r="K9" s="576"/>
      <c r="L9" s="576">
        <v>15</v>
      </c>
      <c r="M9" s="576">
        <v>15</v>
      </c>
      <c r="N9" s="576">
        <v>15</v>
      </c>
      <c r="O9" s="576">
        <v>15</v>
      </c>
      <c r="P9" s="576">
        <v>15</v>
      </c>
      <c r="Q9" s="576">
        <v>15</v>
      </c>
      <c r="R9" s="576"/>
      <c r="S9" s="576">
        <v>15</v>
      </c>
      <c r="T9" s="576">
        <v>30</v>
      </c>
      <c r="U9" s="576"/>
      <c r="V9" s="576"/>
      <c r="W9" s="576"/>
      <c r="X9" s="576"/>
      <c r="Y9" s="576">
        <v>15</v>
      </c>
      <c r="Z9" s="576"/>
      <c r="AA9" s="576"/>
      <c r="AB9" s="576">
        <v>15</v>
      </c>
      <c r="AC9" s="577" t="e">
        <f>IF(NFI_Expiration=1,IF(#REF!&lt;VLOOKUP(L$5,NFI,5,0),1,0)*Table_NFI[[#This Row],[NFI Core Kit]],Table_NFI[NFI Core Kit])</f>
        <v>#REF!</v>
      </c>
      <c r="AD9" s="577" t="e">
        <f>IF(NFI_Expiration=1,IF(#REF!&lt;VLOOKUP(M$5,NFI,5,0),1,0)*Table_NFI[[#This Row],[Sanitary Kit]],Table_NFI[Sanitary Kit])</f>
        <v>#REF!</v>
      </c>
      <c r="AE9" s="577" t="e">
        <f>IF(NFI_Expiration=1,IF(#REF!&lt;VLOOKUP(N$5,NFI,5,0),1,0)*Table_NFI[[#This Row],[Mosquito net]],Table_NFI[Mosquito net])</f>
        <v>#REF!</v>
      </c>
      <c r="AF9" s="577"/>
      <c r="AG9" s="577"/>
      <c r="AH9" s="577"/>
      <c r="AI9" s="577"/>
      <c r="AJ9" s="577"/>
      <c r="AK9" s="577"/>
      <c r="AL9" s="577"/>
      <c r="AM9" s="577"/>
      <c r="AN9" s="577"/>
      <c r="AO9" s="577"/>
      <c r="AP9" s="577">
        <f>IF(Table_NFI[[#This Row],[Winter Clothes Adult]]+Table_NFI[[#This Row],[Winter Clothes Children]]+Table_NFI[[#This Row],[Winter Items Other]]+Table_NFI[[#This Row],[Winter Blanket]]&gt;0,1,0)</f>
        <v>0</v>
      </c>
      <c r="AQ9" s="577"/>
      <c r="AR9" s="577"/>
      <c r="AS9" s="577"/>
      <c r="AT9" s="220" t="str">
        <f>IFERROR(VLOOKUP(Table_NFI[[#This Row],[Location]],CL,2,0),"")</f>
        <v>MMR001CMP212</v>
      </c>
      <c r="AU9" s="197" t="s">
        <v>1240</v>
      </c>
      <c r="AV9" s="578"/>
      <c r="AW9" s="578"/>
      <c r="AX9" s="578"/>
      <c r="AY9" s="578"/>
      <c r="AZ9" s="578"/>
      <c r="BA9" s="578"/>
      <c r="BB9" s="578"/>
      <c r="BC9" s="578"/>
      <c r="BD9" s="578"/>
      <c r="BE9" s="578"/>
      <c r="BF9" s="578"/>
      <c r="BG9" s="578"/>
      <c r="BH9" s="578"/>
      <c r="BI9" s="578"/>
      <c r="BJ9" s="578"/>
      <c r="BK9" s="578"/>
      <c r="BL9" s="578"/>
      <c r="BM9" s="578"/>
      <c r="BN9" s="578"/>
      <c r="BO9" s="578"/>
      <c r="BP9" s="578"/>
      <c r="BQ9" s="578"/>
      <c r="BR9" s="578"/>
      <c r="BS9" s="578"/>
      <c r="BT9" s="578"/>
      <c r="BU9" s="578"/>
      <c r="BV9" s="578"/>
      <c r="BW9" s="578"/>
      <c r="BX9" s="578"/>
      <c r="BY9" s="578"/>
      <c r="BZ9" s="578"/>
      <c r="CA9" s="578"/>
      <c r="CB9" s="578"/>
      <c r="CC9" s="578"/>
      <c r="CD9" s="578"/>
      <c r="CE9" s="578"/>
      <c r="CF9" s="578"/>
      <c r="CG9" s="578"/>
      <c r="CH9" s="578"/>
      <c r="CI9" s="578"/>
      <c r="CJ9" s="578"/>
      <c r="CK9" s="578"/>
      <c r="CL9" s="578"/>
      <c r="CM9" s="578"/>
      <c r="CN9" s="578"/>
      <c r="CO9" s="578"/>
      <c r="CP9" s="578"/>
      <c r="CQ9" s="578"/>
      <c r="CR9" s="578"/>
      <c r="CS9" s="578"/>
      <c r="CT9" s="578"/>
      <c r="CU9" s="578"/>
      <c r="CV9" s="578"/>
      <c r="CW9" s="578"/>
      <c r="CX9" s="578"/>
      <c r="CY9" s="578"/>
      <c r="CZ9" s="578"/>
      <c r="DA9" s="578"/>
      <c r="DB9" s="578"/>
      <c r="DC9" s="578"/>
      <c r="DD9" s="578"/>
      <c r="DE9" s="578"/>
      <c r="DF9" s="578"/>
      <c r="DG9" s="578"/>
      <c r="DH9" s="578"/>
      <c r="DI9" s="578"/>
      <c r="DJ9" s="578"/>
      <c r="DK9" s="578"/>
      <c r="DL9" s="578"/>
      <c r="DM9" s="578"/>
      <c r="DN9" s="578"/>
      <c r="DO9" s="578"/>
    </row>
    <row r="10" spans="2:119" s="574" customFormat="1" ht="18.75" hidden="1" customHeight="1" x14ac:dyDescent="0.3">
      <c r="B10" s="575">
        <v>42750</v>
      </c>
      <c r="C10" s="575" t="str">
        <f>MONTH(Table_NFI[[#This Row],[Distribution Date]]) &amp; "/" &amp; YEAR(Table_NFI[[#This Row],[Distribution Date]])</f>
        <v>1/2017</v>
      </c>
      <c r="D10" s="212" t="s">
        <v>1390</v>
      </c>
      <c r="E10" s="212" t="s">
        <v>1390</v>
      </c>
      <c r="F10" s="579" t="s">
        <v>378</v>
      </c>
      <c r="G10" s="213" t="s">
        <v>151</v>
      </c>
      <c r="H10" s="213" t="s">
        <v>811</v>
      </c>
      <c r="I10" s="197"/>
      <c r="J10" s="576">
        <v>15</v>
      </c>
      <c r="K10" s="576"/>
      <c r="L10" s="576"/>
      <c r="M10" s="576">
        <v>135</v>
      </c>
      <c r="N10" s="576"/>
      <c r="O10" s="576"/>
      <c r="P10" s="576"/>
      <c r="Q10" s="576"/>
      <c r="R10" s="576"/>
      <c r="S10" s="576">
        <v>15</v>
      </c>
      <c r="T10" s="576"/>
      <c r="U10" s="576"/>
      <c r="V10" s="576"/>
      <c r="W10" s="576"/>
      <c r="X10" s="576"/>
      <c r="Y10" s="576">
        <v>15</v>
      </c>
      <c r="Z10" s="576"/>
      <c r="AA10" s="576"/>
      <c r="AB10" s="576"/>
      <c r="AC10" s="577" t="e">
        <f>IF(NFI_Expiration=1,IF(#REF!&lt;VLOOKUP(L$5,NFI,5,0),1,0)*Table_NFI[[#This Row],[NFI Core Kit]],Table_NFI[NFI Core Kit])</f>
        <v>#REF!</v>
      </c>
      <c r="AD10" s="577" t="e">
        <f>IF(NFI_Expiration=1,IF(#REF!&lt;VLOOKUP(M$5,NFI,5,0),1,0)*Table_NFI[[#This Row],[Sanitary Kit]],Table_NFI[Sanitary Kit])</f>
        <v>#REF!</v>
      </c>
      <c r="AE10" s="577" t="e">
        <f>IF(NFI_Expiration=1,IF(#REF!&lt;VLOOKUP(N$5,NFI,5,0),1,0)*Table_NFI[[#This Row],[Mosquito net]],Table_NFI[Mosquito net])</f>
        <v>#REF!</v>
      </c>
      <c r="AF10" s="577"/>
      <c r="AG10" s="577"/>
      <c r="AH10" s="577"/>
      <c r="AI10" s="577"/>
      <c r="AJ10" s="577"/>
      <c r="AK10" s="577"/>
      <c r="AL10" s="577"/>
      <c r="AM10" s="577"/>
      <c r="AN10" s="577"/>
      <c r="AO10" s="577"/>
      <c r="AP10" s="577">
        <f>IF(Table_NFI[[#This Row],[Winter Clothes Adult]]+Table_NFI[[#This Row],[Winter Clothes Children]]+Table_NFI[[#This Row],[Winter Items Other]]+Table_NFI[[#This Row],[Winter Blanket]]&gt;0,1,0)</f>
        <v>0</v>
      </c>
      <c r="AQ10" s="577"/>
      <c r="AR10" s="577"/>
      <c r="AS10" s="577"/>
      <c r="AT10" s="220" t="str">
        <f>IFERROR(VLOOKUP(Table_NFI[[#This Row],[Location]],CL,2,0),"")</f>
        <v>MMR001CMP218</v>
      </c>
      <c r="AU10" s="214" t="s">
        <v>1261</v>
      </c>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row>
    <row r="11" spans="2:119" s="574" customFormat="1" ht="18.75" hidden="1" customHeight="1" x14ac:dyDescent="0.3">
      <c r="B11" s="575">
        <v>42753</v>
      </c>
      <c r="C11" s="575" t="str">
        <f>MONTH(Table_NFI[[#This Row],[Distribution Date]]) &amp; "/" &amp; YEAR(Table_NFI[[#This Row],[Distribution Date]])</f>
        <v>1/2017</v>
      </c>
      <c r="D11" s="212" t="s">
        <v>1390</v>
      </c>
      <c r="E11" s="212" t="s">
        <v>1390</v>
      </c>
      <c r="F11" s="579" t="s">
        <v>378</v>
      </c>
      <c r="G11" s="212" t="s">
        <v>185</v>
      </c>
      <c r="H11" s="212" t="s">
        <v>194</v>
      </c>
      <c r="I11" s="212"/>
      <c r="J11" s="576">
        <v>73</v>
      </c>
      <c r="K11" s="576"/>
      <c r="L11" s="576">
        <v>73</v>
      </c>
      <c r="M11" s="576">
        <v>657</v>
      </c>
      <c r="N11" s="576">
        <v>146</v>
      </c>
      <c r="O11" s="576"/>
      <c r="P11" s="576">
        <v>146</v>
      </c>
      <c r="Q11" s="576"/>
      <c r="R11" s="576"/>
      <c r="S11" s="576">
        <v>73</v>
      </c>
      <c r="T11" s="576">
        <v>146</v>
      </c>
      <c r="U11" s="576"/>
      <c r="V11" s="576"/>
      <c r="W11" s="576"/>
      <c r="X11" s="576"/>
      <c r="Y11" s="576">
        <v>73</v>
      </c>
      <c r="Z11" s="576"/>
      <c r="AA11" s="576"/>
      <c r="AB11" s="576"/>
      <c r="AC11" s="577" t="e">
        <f>IF(NFI_Expiration=1,IF(#REF!&lt;VLOOKUP(L$5,NFI,5,0),1,0)*Table_NFI[[#This Row],[NFI Core Kit]],Table_NFI[NFI Core Kit])</f>
        <v>#REF!</v>
      </c>
      <c r="AD11" s="577" t="e">
        <f>IF(NFI_Expiration=1,IF(#REF!&lt;VLOOKUP(M$5,NFI,5,0),1,0)*Table_NFI[[#This Row],[Sanitary Kit]],Table_NFI[Sanitary Kit])</f>
        <v>#REF!</v>
      </c>
      <c r="AE11" s="577" t="e">
        <f>IF(NFI_Expiration=1,IF(#REF!&lt;VLOOKUP(N$5,NFI,5,0),1,0)*Table_NFI[[#This Row],[Mosquito net]],Table_NFI[Mosquito net])</f>
        <v>#REF!</v>
      </c>
      <c r="AF11" s="577"/>
      <c r="AG11" s="577"/>
      <c r="AH11" s="577"/>
      <c r="AI11" s="577"/>
      <c r="AJ11" s="577"/>
      <c r="AK11" s="577"/>
      <c r="AL11" s="577"/>
      <c r="AM11" s="577"/>
      <c r="AN11" s="577"/>
      <c r="AO11" s="577"/>
      <c r="AP11" s="577">
        <f>IF(Table_NFI[[#This Row],[Winter Clothes Adult]]+Table_NFI[[#This Row],[Winter Clothes Children]]+Table_NFI[[#This Row],[Winter Items Other]]+Table_NFI[[#This Row],[Winter Blanket]]&gt;0,1,0)</f>
        <v>0</v>
      </c>
      <c r="AQ11" s="577"/>
      <c r="AR11" s="577"/>
      <c r="AS11" s="577"/>
      <c r="AT11" s="220" t="str">
        <f>IFERROR(VLOOKUP(Table_NFI[[#This Row],[Location]],CL,2,0),"")</f>
        <v>MMR001CMP122</v>
      </c>
      <c r="AU11" s="214" t="s">
        <v>1261</v>
      </c>
      <c r="AV11" s="578"/>
      <c r="AW11" s="578"/>
      <c r="AX11" s="578"/>
      <c r="AY11" s="578"/>
      <c r="AZ11" s="578"/>
      <c r="BA11" s="578"/>
      <c r="BB11" s="578"/>
      <c r="BC11" s="578"/>
      <c r="BD11" s="578"/>
      <c r="BE11" s="578"/>
      <c r="BF11" s="578"/>
      <c r="BG11" s="578"/>
      <c r="BH11" s="578"/>
      <c r="BI11" s="578"/>
      <c r="BJ11" s="578"/>
      <c r="BK11" s="578"/>
      <c r="BL11" s="578"/>
      <c r="BM11" s="578"/>
      <c r="BN11" s="578"/>
      <c r="BO11" s="578"/>
      <c r="BP11" s="578"/>
      <c r="BQ11" s="578"/>
      <c r="BR11" s="578"/>
      <c r="BS11" s="578"/>
      <c r="BT11" s="578"/>
      <c r="BU11" s="578"/>
      <c r="BV11" s="578"/>
      <c r="BW11" s="578"/>
      <c r="BX11" s="578"/>
      <c r="BY11" s="578"/>
      <c r="BZ11" s="578"/>
      <c r="CA11" s="578"/>
      <c r="CB11" s="578"/>
      <c r="CC11" s="578"/>
      <c r="CD11" s="578"/>
      <c r="CE11" s="578"/>
      <c r="CF11" s="578"/>
      <c r="CG11" s="578"/>
      <c r="CH11" s="578"/>
      <c r="CI11" s="578"/>
      <c r="CJ11" s="578"/>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c r="DO11" s="578"/>
    </row>
    <row r="12" spans="2:119" s="574" customFormat="1" ht="18.75" hidden="1" customHeight="1" x14ac:dyDescent="0.3">
      <c r="B12" s="575">
        <v>42753</v>
      </c>
      <c r="C12" s="575" t="str">
        <f>MONTH(Table_NFI[[#This Row],[Distribution Date]]) &amp; "/" &amp; YEAR(Table_NFI[[#This Row],[Distribution Date]])</f>
        <v>1/2017</v>
      </c>
      <c r="D12" s="212" t="s">
        <v>1390</v>
      </c>
      <c r="E12" s="212" t="s">
        <v>1390</v>
      </c>
      <c r="F12" s="213" t="s">
        <v>378</v>
      </c>
      <c r="G12" s="213" t="s">
        <v>309</v>
      </c>
      <c r="H12" s="212" t="s">
        <v>351</v>
      </c>
      <c r="I12" s="212"/>
      <c r="J12" s="576">
        <v>10</v>
      </c>
      <c r="K12" s="576"/>
      <c r="L12" s="576">
        <v>10</v>
      </c>
      <c r="M12" s="576">
        <v>90</v>
      </c>
      <c r="N12" s="576">
        <v>20</v>
      </c>
      <c r="O12" s="576"/>
      <c r="P12" s="576">
        <v>20</v>
      </c>
      <c r="Q12" s="576"/>
      <c r="R12" s="576"/>
      <c r="S12" s="576">
        <v>10</v>
      </c>
      <c r="T12" s="576">
        <v>20</v>
      </c>
      <c r="U12" s="576"/>
      <c r="V12" s="576"/>
      <c r="W12" s="576"/>
      <c r="X12" s="576"/>
      <c r="Y12" s="576">
        <v>10</v>
      </c>
      <c r="Z12" s="576"/>
      <c r="AA12" s="576"/>
      <c r="AB12" s="576"/>
      <c r="AC12" s="577" t="e">
        <f>IF(NFI_Expiration=1,IF(#REF!&lt;VLOOKUP(L$5,NFI,5,0),1,0)*Table_NFI[[#This Row],[NFI Core Kit]],Table_NFI[NFI Core Kit])</f>
        <v>#REF!</v>
      </c>
      <c r="AD12" s="577" t="e">
        <f>IF(NFI_Expiration=1,IF(#REF!&lt;VLOOKUP(M$5,NFI,5,0),1,0)*Table_NFI[[#This Row],[Sanitary Kit]],Table_NFI[Sanitary Kit])</f>
        <v>#REF!</v>
      </c>
      <c r="AE12" s="577" t="e">
        <f>IF(NFI_Expiration=1,IF(#REF!&lt;VLOOKUP(N$5,NFI,5,0),1,0)*Table_NFI[[#This Row],[Mosquito net]],Table_NFI[Mosquito net])</f>
        <v>#REF!</v>
      </c>
      <c r="AF12" s="577"/>
      <c r="AG12" s="577"/>
      <c r="AH12" s="577"/>
      <c r="AI12" s="577"/>
      <c r="AJ12" s="577"/>
      <c r="AK12" s="577"/>
      <c r="AL12" s="577"/>
      <c r="AM12" s="577"/>
      <c r="AN12" s="577"/>
      <c r="AO12" s="577"/>
      <c r="AP12" s="577">
        <f>IF(Table_NFI[[#This Row],[Winter Clothes Adult]]+Table_NFI[[#This Row],[Winter Clothes Children]]+Table_NFI[[#This Row],[Winter Items Other]]+Table_NFI[[#This Row],[Winter Blanket]]&gt;0,1,0)</f>
        <v>0</v>
      </c>
      <c r="AQ12" s="577"/>
      <c r="AR12" s="577"/>
      <c r="AS12" s="577"/>
      <c r="AT12" s="220" t="str">
        <f>IFERROR(VLOOKUP(Table_NFI[[#This Row],[Location]],CL,2,0),"")</f>
        <v>MMR001CMP116</v>
      </c>
      <c r="AU12" s="214" t="s">
        <v>1261</v>
      </c>
      <c r="AV12" s="578"/>
      <c r="AW12" s="578"/>
      <c r="AX12" s="578"/>
      <c r="AY12" s="578"/>
      <c r="AZ12" s="578"/>
      <c r="BA12" s="578"/>
      <c r="BB12" s="578"/>
      <c r="BC12" s="578"/>
      <c r="BD12" s="578"/>
      <c r="BE12" s="578"/>
      <c r="BF12" s="578"/>
      <c r="BG12" s="578"/>
      <c r="BH12" s="578"/>
      <c r="BI12" s="578"/>
      <c r="BJ12" s="578"/>
      <c r="BK12" s="578"/>
      <c r="BL12" s="578"/>
      <c r="BM12" s="578"/>
      <c r="BN12" s="578"/>
      <c r="BO12" s="578"/>
      <c r="BP12" s="578"/>
      <c r="BQ12" s="578"/>
      <c r="BR12" s="578"/>
      <c r="BS12" s="578"/>
      <c r="BT12" s="578"/>
      <c r="BU12" s="578"/>
      <c r="BV12" s="578"/>
      <c r="BW12" s="578"/>
      <c r="BX12" s="578"/>
      <c r="BY12" s="578"/>
      <c r="BZ12" s="578"/>
      <c r="CA12" s="578"/>
      <c r="CB12" s="578"/>
      <c r="CC12" s="578"/>
      <c r="CD12" s="578"/>
      <c r="CE12" s="578"/>
      <c r="CF12" s="578"/>
      <c r="CG12" s="578"/>
      <c r="CH12" s="578"/>
      <c r="CI12" s="578"/>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578"/>
    </row>
    <row r="13" spans="2:119" s="574" customFormat="1" ht="18.75" hidden="1" customHeight="1" x14ac:dyDescent="0.3">
      <c r="B13" s="575">
        <v>42754</v>
      </c>
      <c r="C13" s="575" t="str">
        <f>MONTH(Table_NFI[[#This Row],[Distribution Date]]) &amp; "/" &amp; YEAR(Table_NFI[[#This Row],[Distribution Date]])</f>
        <v>1/2017</v>
      </c>
      <c r="D13" s="213" t="s">
        <v>420</v>
      </c>
      <c r="E13" s="213" t="s">
        <v>1089</v>
      </c>
      <c r="F13" s="213" t="s">
        <v>378</v>
      </c>
      <c r="G13" s="213" t="s">
        <v>309</v>
      </c>
      <c r="H13" s="213" t="s">
        <v>329</v>
      </c>
      <c r="I13" s="197"/>
      <c r="J13" s="576"/>
      <c r="K13" s="576"/>
      <c r="L13" s="576">
        <v>9</v>
      </c>
      <c r="M13" s="576">
        <v>9</v>
      </c>
      <c r="N13" s="576">
        <v>35</v>
      </c>
      <c r="O13" s="576">
        <v>9</v>
      </c>
      <c r="P13" s="576">
        <v>35</v>
      </c>
      <c r="Q13" s="576">
        <v>9</v>
      </c>
      <c r="R13" s="576"/>
      <c r="S13" s="576">
        <v>9</v>
      </c>
      <c r="T13" s="576">
        <v>35</v>
      </c>
      <c r="U13" s="576"/>
      <c r="V13" s="576"/>
      <c r="W13" s="576"/>
      <c r="X13" s="576"/>
      <c r="Y13" s="576">
        <v>9</v>
      </c>
      <c r="Z13" s="576"/>
      <c r="AA13" s="576"/>
      <c r="AB13" s="576">
        <v>9</v>
      </c>
      <c r="AC13" s="577" t="e">
        <f>IF(NFI_Expiration=1,IF(#REF!&lt;VLOOKUP(L$5,NFI,5,0),1,0)*Table_NFI[[#This Row],[NFI Core Kit]],Table_NFI[NFI Core Kit])</f>
        <v>#REF!</v>
      </c>
      <c r="AD13" s="577" t="e">
        <f>IF(NFI_Expiration=1,IF(#REF!&lt;VLOOKUP(M$5,NFI,5,0),1,0)*Table_NFI[[#This Row],[Sanitary Kit]],Table_NFI[Sanitary Kit])</f>
        <v>#REF!</v>
      </c>
      <c r="AE13" s="577" t="e">
        <f>IF(NFI_Expiration=1,IF(#REF!&lt;VLOOKUP(N$5,NFI,5,0),1,0)*Table_NFI[[#This Row],[Mosquito net]],Table_NFI[Mosquito net])</f>
        <v>#REF!</v>
      </c>
      <c r="AF13" s="577"/>
      <c r="AG13" s="577"/>
      <c r="AH13" s="577"/>
      <c r="AI13" s="577"/>
      <c r="AJ13" s="577"/>
      <c r="AK13" s="577"/>
      <c r="AL13" s="577"/>
      <c r="AM13" s="577"/>
      <c r="AN13" s="577"/>
      <c r="AO13" s="577"/>
      <c r="AP13" s="577">
        <f>IF(Table_NFI[[#This Row],[Winter Clothes Adult]]+Table_NFI[[#This Row],[Winter Clothes Children]]+Table_NFI[[#This Row],[Winter Items Other]]+Table_NFI[[#This Row],[Winter Blanket]]&gt;0,1,0)</f>
        <v>0</v>
      </c>
      <c r="AQ13" s="577"/>
      <c r="AR13" s="577"/>
      <c r="AS13" s="577"/>
      <c r="AT13" s="220" t="str">
        <f>IFERROR(VLOOKUP(Table_NFI[[#This Row],[Location]],CL,2,0),"")</f>
        <v>MMR001CMP029</v>
      </c>
      <c r="AU13" s="197" t="s">
        <v>1240</v>
      </c>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row>
    <row r="14" spans="2:119" s="574" customFormat="1" ht="18.75" hidden="1" customHeight="1" x14ac:dyDescent="0.3">
      <c r="B14" s="575">
        <v>42755</v>
      </c>
      <c r="C14" s="575" t="str">
        <f>MONTH(Table_NFI[[#This Row],[Distribution Date]]) &amp; "/" &amp; YEAR(Table_NFI[[#This Row],[Distribution Date]])</f>
        <v>1/2017</v>
      </c>
      <c r="D14" s="213" t="s">
        <v>420</v>
      </c>
      <c r="E14" s="213" t="s">
        <v>462</v>
      </c>
      <c r="F14" s="213" t="s">
        <v>378</v>
      </c>
      <c r="G14" s="213" t="s">
        <v>309</v>
      </c>
      <c r="H14" s="213" t="s">
        <v>327</v>
      </c>
      <c r="I14" s="197"/>
      <c r="J14" s="576"/>
      <c r="K14" s="576"/>
      <c r="L14" s="576">
        <v>5</v>
      </c>
      <c r="M14" s="576">
        <v>5</v>
      </c>
      <c r="N14" s="576">
        <v>21</v>
      </c>
      <c r="O14" s="576">
        <v>5</v>
      </c>
      <c r="P14" s="576">
        <v>21</v>
      </c>
      <c r="Q14" s="576">
        <v>5</v>
      </c>
      <c r="R14" s="576"/>
      <c r="S14" s="576">
        <v>5</v>
      </c>
      <c r="T14" s="576">
        <v>21</v>
      </c>
      <c r="U14" s="576"/>
      <c r="V14" s="576"/>
      <c r="W14" s="576"/>
      <c r="X14" s="576"/>
      <c r="Y14" s="576">
        <v>5</v>
      </c>
      <c r="Z14" s="576"/>
      <c r="AA14" s="576"/>
      <c r="AB14" s="576"/>
      <c r="AC14" s="577" t="e">
        <f>IF(NFI_Expiration=1,IF(#REF!&lt;VLOOKUP(L$5,NFI,5,0),1,0)*Table_NFI[[#This Row],[NFI Core Kit]],Table_NFI[NFI Core Kit])</f>
        <v>#REF!</v>
      </c>
      <c r="AD14" s="577" t="e">
        <f>IF(NFI_Expiration=1,IF(#REF!&lt;VLOOKUP(M$5,NFI,5,0),1,0)*Table_NFI[[#This Row],[Sanitary Kit]],Table_NFI[Sanitary Kit])</f>
        <v>#REF!</v>
      </c>
      <c r="AE14" s="577" t="e">
        <f>IF(NFI_Expiration=1,IF(#REF!&lt;VLOOKUP(N$5,NFI,5,0),1,0)*Table_NFI[[#This Row],[Mosquito net]],Table_NFI[Mosquito net])</f>
        <v>#REF!</v>
      </c>
      <c r="AF14" s="577"/>
      <c r="AG14" s="577"/>
      <c r="AH14" s="577"/>
      <c r="AI14" s="577"/>
      <c r="AJ14" s="577"/>
      <c r="AK14" s="577"/>
      <c r="AL14" s="577"/>
      <c r="AM14" s="577"/>
      <c r="AN14" s="577"/>
      <c r="AO14" s="577"/>
      <c r="AP14" s="577">
        <f>IF(Table_NFI[[#This Row],[Winter Clothes Adult]]+Table_NFI[[#This Row],[Winter Clothes Children]]+Table_NFI[[#This Row],[Winter Items Other]]+Table_NFI[[#This Row],[Winter Blanket]]&gt;0,1,0)</f>
        <v>0</v>
      </c>
      <c r="AQ14" s="577"/>
      <c r="AR14" s="577"/>
      <c r="AS14" s="577"/>
      <c r="AT14" s="220" t="str">
        <f>IFERROR(VLOOKUP(Table_NFI[[#This Row],[Location]],CL,2,0),"")</f>
        <v>MMR001CMP031</v>
      </c>
      <c r="AU14" s="197" t="s">
        <v>1240</v>
      </c>
      <c r="AV14" s="578"/>
      <c r="AW14" s="578"/>
      <c r="AX14" s="578"/>
      <c r="AY14" s="578"/>
      <c r="AZ14" s="578"/>
      <c r="BA14" s="578"/>
      <c r="BB14" s="578"/>
      <c r="BC14" s="578"/>
      <c r="BD14" s="578"/>
      <c r="BE14" s="578"/>
      <c r="BF14" s="578"/>
      <c r="BG14" s="578"/>
      <c r="BH14" s="578"/>
      <c r="BI14" s="578"/>
      <c r="BJ14" s="578"/>
      <c r="BK14" s="578"/>
      <c r="BL14" s="578"/>
      <c r="BM14" s="578"/>
      <c r="BN14" s="578"/>
      <c r="BO14" s="578"/>
      <c r="BP14" s="578"/>
      <c r="BQ14" s="578"/>
      <c r="BR14" s="578"/>
      <c r="BS14" s="578"/>
      <c r="BT14" s="578"/>
      <c r="BU14" s="578"/>
      <c r="BV14" s="578"/>
      <c r="BW14" s="578"/>
      <c r="BX14" s="578"/>
      <c r="BY14" s="578"/>
      <c r="BZ14" s="578"/>
      <c r="CA14" s="578"/>
      <c r="CB14" s="578"/>
      <c r="CC14" s="578"/>
      <c r="CD14" s="578"/>
      <c r="CE14" s="578"/>
      <c r="CF14" s="578"/>
      <c r="CG14" s="578"/>
      <c r="CH14" s="578"/>
      <c r="CI14" s="578"/>
      <c r="CJ14" s="578"/>
      <c r="CK14" s="578"/>
      <c r="CL14" s="578"/>
      <c r="CM14" s="578"/>
      <c r="CN14" s="578"/>
      <c r="CO14" s="578"/>
      <c r="CP14" s="578"/>
      <c r="CQ14" s="578"/>
      <c r="CR14" s="578"/>
      <c r="CS14" s="578"/>
      <c r="CT14" s="578"/>
      <c r="CU14" s="578"/>
      <c r="CV14" s="578"/>
      <c r="CW14" s="578"/>
      <c r="CX14" s="578"/>
      <c r="CY14" s="578"/>
      <c r="CZ14" s="578"/>
      <c r="DA14" s="578"/>
      <c r="DB14" s="578"/>
      <c r="DC14" s="578"/>
      <c r="DD14" s="578"/>
      <c r="DE14" s="578"/>
      <c r="DF14" s="578"/>
      <c r="DG14" s="578"/>
      <c r="DH14" s="578"/>
      <c r="DI14" s="578"/>
      <c r="DJ14" s="578"/>
      <c r="DK14" s="578"/>
      <c r="DL14" s="578"/>
      <c r="DM14" s="578"/>
      <c r="DN14" s="578"/>
      <c r="DO14" s="578"/>
    </row>
    <row r="15" spans="2:119" s="574" customFormat="1" ht="18.75" hidden="1" customHeight="1" x14ac:dyDescent="0.3">
      <c r="B15" s="575">
        <v>42755</v>
      </c>
      <c r="C15" s="575" t="str">
        <f>MONTH(Table_NFI[[#This Row],[Distribution Date]]) &amp; "/" &amp; YEAR(Table_NFI[[#This Row],[Distribution Date]])</f>
        <v>1/2017</v>
      </c>
      <c r="D15" s="213" t="s">
        <v>420</v>
      </c>
      <c r="E15" s="213" t="s">
        <v>462</v>
      </c>
      <c r="F15" s="213" t="s">
        <v>378</v>
      </c>
      <c r="G15" s="213" t="s">
        <v>309</v>
      </c>
      <c r="H15" s="213" t="s">
        <v>349</v>
      </c>
      <c r="I15" s="197"/>
      <c r="J15" s="576"/>
      <c r="K15" s="576"/>
      <c r="L15" s="576">
        <v>6</v>
      </c>
      <c r="M15" s="576">
        <v>6</v>
      </c>
      <c r="N15" s="576">
        <v>13</v>
      </c>
      <c r="O15" s="576">
        <v>6</v>
      </c>
      <c r="P15" s="576">
        <v>13</v>
      </c>
      <c r="Q15" s="576">
        <v>6</v>
      </c>
      <c r="R15" s="576"/>
      <c r="S15" s="576">
        <v>6</v>
      </c>
      <c r="T15" s="576">
        <v>13</v>
      </c>
      <c r="U15" s="576"/>
      <c r="V15" s="576"/>
      <c r="W15" s="576"/>
      <c r="X15" s="576"/>
      <c r="Y15" s="576">
        <v>6</v>
      </c>
      <c r="Z15" s="576"/>
      <c r="AA15" s="576"/>
      <c r="AB15" s="576"/>
      <c r="AC15" s="577" t="e">
        <f>IF(NFI_Expiration=1,IF(#REF!&lt;VLOOKUP(L$5,NFI,5,0),1,0)*Table_NFI[[#This Row],[NFI Core Kit]],Table_NFI[NFI Core Kit])</f>
        <v>#REF!</v>
      </c>
      <c r="AD15" s="577" t="e">
        <f>IF(NFI_Expiration=1,IF(#REF!&lt;VLOOKUP(M$5,NFI,5,0),1,0)*Table_NFI[[#This Row],[Sanitary Kit]],Table_NFI[Sanitary Kit])</f>
        <v>#REF!</v>
      </c>
      <c r="AE15" s="577" t="e">
        <f>IF(NFI_Expiration=1,IF(#REF!&lt;VLOOKUP(N$5,NFI,5,0),1,0)*Table_NFI[[#This Row],[Mosquito net]],Table_NFI[Mosquito net])</f>
        <v>#REF!</v>
      </c>
      <c r="AF15" s="577"/>
      <c r="AG15" s="577"/>
      <c r="AH15" s="577"/>
      <c r="AI15" s="577"/>
      <c r="AJ15" s="577"/>
      <c r="AK15" s="577"/>
      <c r="AL15" s="577"/>
      <c r="AM15" s="577"/>
      <c r="AN15" s="577"/>
      <c r="AO15" s="577"/>
      <c r="AP15" s="577">
        <f>IF(Table_NFI[[#This Row],[Winter Clothes Adult]]+Table_NFI[[#This Row],[Winter Clothes Children]]+Table_NFI[[#This Row],[Winter Items Other]]+Table_NFI[[#This Row],[Winter Blanket]]&gt;0,1,0)</f>
        <v>0</v>
      </c>
      <c r="AQ15" s="577"/>
      <c r="AR15" s="577"/>
      <c r="AS15" s="577"/>
      <c r="AT15" s="220" t="str">
        <f>IFERROR(VLOOKUP(Table_NFI[[#This Row],[Location]],CL,2,0),"")</f>
        <v>MMR001CMP026</v>
      </c>
      <c r="AU15" s="197" t="s">
        <v>1240</v>
      </c>
      <c r="AV15" s="578"/>
      <c r="AW15" s="578"/>
      <c r="AX15" s="578"/>
      <c r="AY15" s="578"/>
      <c r="AZ15" s="578"/>
      <c r="BA15" s="578"/>
      <c r="BB15" s="578"/>
      <c r="BC15" s="578"/>
      <c r="BD15" s="578"/>
      <c r="BE15" s="578"/>
      <c r="BF15" s="578"/>
      <c r="BG15" s="578"/>
      <c r="BH15" s="578"/>
      <c r="BI15" s="578"/>
      <c r="BJ15" s="578"/>
      <c r="BK15" s="578"/>
      <c r="BL15" s="578"/>
      <c r="BM15" s="578"/>
      <c r="BN15" s="578"/>
      <c r="BO15" s="578"/>
      <c r="BP15" s="578"/>
      <c r="BQ15" s="578"/>
      <c r="BR15" s="578"/>
      <c r="BS15" s="578"/>
      <c r="BT15" s="578"/>
      <c r="BU15" s="578"/>
      <c r="BV15" s="578"/>
      <c r="BW15" s="578"/>
      <c r="BX15" s="578"/>
      <c r="BY15" s="578"/>
      <c r="BZ15" s="578"/>
      <c r="CA15" s="578"/>
      <c r="CB15" s="578"/>
      <c r="CC15" s="578"/>
      <c r="CD15" s="578"/>
      <c r="CE15" s="578"/>
      <c r="CF15" s="578"/>
      <c r="CG15" s="578"/>
      <c r="CH15" s="578"/>
      <c r="CI15" s="578"/>
      <c r="CJ15" s="578"/>
      <c r="CK15" s="578"/>
      <c r="CL15" s="578"/>
      <c r="CM15" s="578"/>
      <c r="CN15" s="578"/>
      <c r="CO15" s="578"/>
      <c r="CP15" s="578"/>
      <c r="CQ15" s="578"/>
      <c r="CR15" s="578"/>
      <c r="CS15" s="578"/>
      <c r="CT15" s="578"/>
      <c r="CU15" s="578"/>
      <c r="CV15" s="578"/>
      <c r="CW15" s="578"/>
      <c r="CX15" s="578"/>
      <c r="CY15" s="578"/>
      <c r="CZ15" s="578"/>
      <c r="DA15" s="578"/>
      <c r="DB15" s="578"/>
      <c r="DC15" s="578"/>
      <c r="DD15" s="578"/>
      <c r="DE15" s="578"/>
      <c r="DF15" s="578"/>
      <c r="DG15" s="578"/>
      <c r="DH15" s="578"/>
      <c r="DI15" s="578"/>
      <c r="DJ15" s="578"/>
      <c r="DK15" s="578"/>
      <c r="DL15" s="578"/>
      <c r="DM15" s="578"/>
      <c r="DN15" s="578"/>
      <c r="DO15" s="578"/>
    </row>
    <row r="16" spans="2:119" s="574" customFormat="1" ht="18.75" hidden="1" customHeight="1" x14ac:dyDescent="0.3">
      <c r="B16" s="575">
        <v>42755</v>
      </c>
      <c r="C16" s="575" t="str">
        <f>MONTH(Table_NFI[[#This Row],[Distribution Date]]) &amp; "/" &amp; YEAR(Table_NFI[[#This Row],[Distribution Date]])</f>
        <v>1/2017</v>
      </c>
      <c r="D16" s="213" t="s">
        <v>420</v>
      </c>
      <c r="E16" s="213" t="s">
        <v>462</v>
      </c>
      <c r="F16" s="213" t="s">
        <v>378</v>
      </c>
      <c r="G16" s="213" t="s">
        <v>309</v>
      </c>
      <c r="H16" s="213" t="s">
        <v>317</v>
      </c>
      <c r="I16" s="197"/>
      <c r="J16" s="576"/>
      <c r="K16" s="576"/>
      <c r="L16" s="576">
        <v>9</v>
      </c>
      <c r="M16" s="576">
        <v>9</v>
      </c>
      <c r="N16" s="576">
        <v>19</v>
      </c>
      <c r="O16" s="576">
        <v>9</v>
      </c>
      <c r="P16" s="576">
        <v>19</v>
      </c>
      <c r="Q16" s="576">
        <v>9</v>
      </c>
      <c r="R16" s="576"/>
      <c r="S16" s="576">
        <v>9</v>
      </c>
      <c r="T16" s="576">
        <v>19</v>
      </c>
      <c r="U16" s="576"/>
      <c r="V16" s="576"/>
      <c r="W16" s="576"/>
      <c r="X16" s="576"/>
      <c r="Y16" s="576">
        <v>9</v>
      </c>
      <c r="Z16" s="576"/>
      <c r="AA16" s="576"/>
      <c r="AB16" s="576">
        <v>10</v>
      </c>
      <c r="AC16" s="577" t="e">
        <f>IF(NFI_Expiration=1,IF(#REF!&lt;VLOOKUP(L$5,NFI,5,0),1,0)*Table_NFI[[#This Row],[NFI Core Kit]],Table_NFI[NFI Core Kit])</f>
        <v>#REF!</v>
      </c>
      <c r="AD16" s="577" t="e">
        <f>IF(NFI_Expiration=1,IF(#REF!&lt;VLOOKUP(M$5,NFI,5,0),1,0)*Table_NFI[[#This Row],[Sanitary Kit]],Table_NFI[Sanitary Kit])</f>
        <v>#REF!</v>
      </c>
      <c r="AE16" s="577" t="e">
        <f>IF(NFI_Expiration=1,IF(#REF!&lt;VLOOKUP(N$5,NFI,5,0),1,0)*Table_NFI[[#This Row],[Mosquito net]],Table_NFI[Mosquito net])</f>
        <v>#REF!</v>
      </c>
      <c r="AF16" s="577"/>
      <c r="AG16" s="577"/>
      <c r="AH16" s="577"/>
      <c r="AI16" s="577"/>
      <c r="AJ16" s="577"/>
      <c r="AK16" s="577"/>
      <c r="AL16" s="577"/>
      <c r="AM16" s="577"/>
      <c r="AN16" s="577"/>
      <c r="AO16" s="577"/>
      <c r="AP16" s="577">
        <f>IF(Table_NFI[[#This Row],[Winter Clothes Adult]]+Table_NFI[[#This Row],[Winter Clothes Children]]+Table_NFI[[#This Row],[Winter Items Other]]+Table_NFI[[#This Row],[Winter Blanket]]&gt;0,1,0)</f>
        <v>0</v>
      </c>
      <c r="AQ16" s="577"/>
      <c r="AR16" s="577"/>
      <c r="AS16" s="577"/>
      <c r="AT16" s="220" t="str">
        <f>IFERROR(VLOOKUP(Table_NFI[[#This Row],[Location]],CL,2,0),"")</f>
        <v>MMR001CMP032</v>
      </c>
      <c r="AU16" s="197" t="s">
        <v>1240</v>
      </c>
      <c r="AV16" s="578"/>
      <c r="AW16" s="578"/>
      <c r="AX16" s="578"/>
      <c r="AY16" s="578"/>
      <c r="AZ16" s="578"/>
      <c r="BA16" s="578"/>
      <c r="BB16" s="578"/>
      <c r="BC16" s="578"/>
      <c r="BD16" s="578"/>
      <c r="BE16" s="578"/>
      <c r="BF16" s="578"/>
      <c r="BG16" s="578"/>
      <c r="BH16" s="578"/>
      <c r="BI16" s="578"/>
      <c r="BJ16" s="578"/>
      <c r="BK16" s="578"/>
      <c r="BL16" s="578"/>
      <c r="BM16" s="578"/>
      <c r="BN16" s="578"/>
      <c r="BO16" s="578"/>
      <c r="BP16" s="578"/>
      <c r="BQ16" s="578"/>
      <c r="BR16" s="578"/>
      <c r="BS16" s="578"/>
      <c r="BT16" s="578"/>
      <c r="BU16" s="578"/>
      <c r="BV16" s="578"/>
      <c r="BW16" s="578"/>
      <c r="BX16" s="578"/>
      <c r="BY16" s="578"/>
      <c r="BZ16" s="578"/>
      <c r="CA16" s="578"/>
      <c r="CB16" s="578"/>
      <c r="CC16" s="578"/>
      <c r="CD16" s="578"/>
      <c r="CE16" s="578"/>
      <c r="CF16" s="578"/>
      <c r="CG16" s="578"/>
      <c r="CH16" s="578"/>
      <c r="CI16" s="578"/>
      <c r="CJ16" s="578"/>
      <c r="CK16" s="578"/>
      <c r="CL16" s="578"/>
      <c r="CM16" s="578"/>
      <c r="CN16" s="578"/>
      <c r="CO16" s="578"/>
      <c r="CP16" s="578"/>
      <c r="CQ16" s="578"/>
      <c r="CR16" s="578"/>
      <c r="CS16" s="578"/>
      <c r="CT16" s="578"/>
      <c r="CU16" s="578"/>
      <c r="CV16" s="578"/>
      <c r="CW16" s="578"/>
      <c r="CX16" s="578"/>
      <c r="CY16" s="578"/>
      <c r="CZ16" s="578"/>
      <c r="DA16" s="578"/>
      <c r="DB16" s="578"/>
      <c r="DC16" s="578"/>
      <c r="DD16" s="578"/>
      <c r="DE16" s="578"/>
      <c r="DF16" s="578"/>
      <c r="DG16" s="578"/>
      <c r="DH16" s="578"/>
      <c r="DI16" s="578"/>
      <c r="DJ16" s="578"/>
      <c r="DK16" s="578"/>
      <c r="DL16" s="578"/>
      <c r="DM16" s="578"/>
      <c r="DN16" s="578"/>
      <c r="DO16" s="578"/>
    </row>
    <row r="17" spans="2:119" s="574" customFormat="1" ht="18.75" hidden="1" customHeight="1" x14ac:dyDescent="0.3">
      <c r="B17" s="575">
        <v>42755</v>
      </c>
      <c r="C17" s="575" t="str">
        <f>MONTH(Table_NFI[[#This Row],[Distribution Date]]) &amp; "/" &amp; YEAR(Table_NFI[[#This Row],[Distribution Date]])</f>
        <v>1/2017</v>
      </c>
      <c r="D17" s="213" t="s">
        <v>420</v>
      </c>
      <c r="E17" s="213" t="s">
        <v>462</v>
      </c>
      <c r="F17" s="213" t="s">
        <v>378</v>
      </c>
      <c r="G17" s="213" t="s">
        <v>309</v>
      </c>
      <c r="H17" s="213" t="s">
        <v>315</v>
      </c>
      <c r="I17" s="197"/>
      <c r="J17" s="576"/>
      <c r="K17" s="576"/>
      <c r="L17" s="576">
        <v>6</v>
      </c>
      <c r="M17" s="576">
        <v>6</v>
      </c>
      <c r="N17" s="576">
        <v>17</v>
      </c>
      <c r="O17" s="576">
        <v>6</v>
      </c>
      <c r="P17" s="576">
        <v>17</v>
      </c>
      <c r="Q17" s="576">
        <v>6</v>
      </c>
      <c r="R17" s="576"/>
      <c r="S17" s="576">
        <v>6</v>
      </c>
      <c r="T17" s="576">
        <v>17</v>
      </c>
      <c r="U17" s="576"/>
      <c r="V17" s="576"/>
      <c r="W17" s="576"/>
      <c r="X17" s="576"/>
      <c r="Y17" s="576">
        <v>6</v>
      </c>
      <c r="Z17" s="576"/>
      <c r="AA17" s="576"/>
      <c r="AB17" s="576"/>
      <c r="AC17" s="577" t="e">
        <f>IF(NFI_Expiration=1,IF(#REF!&lt;VLOOKUP(L$5,NFI,5,0),1,0)*Table_NFI[[#This Row],[NFI Core Kit]],Table_NFI[NFI Core Kit])</f>
        <v>#REF!</v>
      </c>
      <c r="AD17" s="577" t="e">
        <f>IF(NFI_Expiration=1,IF(#REF!&lt;VLOOKUP(M$5,NFI,5,0),1,0)*Table_NFI[[#This Row],[Sanitary Kit]],Table_NFI[Sanitary Kit])</f>
        <v>#REF!</v>
      </c>
      <c r="AE17" s="577" t="e">
        <f>IF(NFI_Expiration=1,IF(#REF!&lt;VLOOKUP(N$5,NFI,5,0),1,0)*Table_NFI[[#This Row],[Mosquito net]],Table_NFI[Mosquito net])</f>
        <v>#REF!</v>
      </c>
      <c r="AF17" s="577"/>
      <c r="AG17" s="577"/>
      <c r="AH17" s="577"/>
      <c r="AI17" s="577"/>
      <c r="AJ17" s="577"/>
      <c r="AK17" s="577"/>
      <c r="AL17" s="577"/>
      <c r="AM17" s="577"/>
      <c r="AN17" s="577"/>
      <c r="AO17" s="577"/>
      <c r="AP17" s="577">
        <f>IF(Table_NFI[[#This Row],[Winter Clothes Adult]]+Table_NFI[[#This Row],[Winter Clothes Children]]+Table_NFI[[#This Row],[Winter Items Other]]+Table_NFI[[#This Row],[Winter Blanket]]&gt;0,1,0)</f>
        <v>0</v>
      </c>
      <c r="AQ17" s="577"/>
      <c r="AR17" s="577"/>
      <c r="AS17" s="577"/>
      <c r="AT17" s="220" t="str">
        <f>IFERROR(VLOOKUP(Table_NFI[[#This Row],[Location]],CL,2,0),"")</f>
        <v>MMR001CMP038</v>
      </c>
      <c r="AU17" s="197" t="s">
        <v>1240</v>
      </c>
      <c r="AV17" s="578"/>
      <c r="AW17" s="578"/>
      <c r="AX17" s="578"/>
      <c r="AY17" s="578"/>
      <c r="AZ17" s="578"/>
      <c r="BA17" s="578"/>
      <c r="BB17" s="578"/>
      <c r="BC17" s="578"/>
      <c r="BD17" s="578"/>
      <c r="BE17" s="578"/>
      <c r="BF17" s="578"/>
      <c r="BG17" s="578"/>
      <c r="BH17" s="578"/>
      <c r="BI17" s="578"/>
      <c r="BJ17" s="578"/>
      <c r="BK17" s="578"/>
      <c r="BL17" s="578"/>
      <c r="BM17" s="578"/>
      <c r="BN17" s="578"/>
      <c r="BO17" s="578"/>
      <c r="BP17" s="578"/>
      <c r="BQ17" s="578"/>
      <c r="BR17" s="578"/>
      <c r="BS17" s="578"/>
      <c r="BT17" s="578"/>
      <c r="BU17" s="578"/>
      <c r="BV17" s="578"/>
      <c r="BW17" s="578"/>
      <c r="BX17" s="578"/>
      <c r="BY17" s="578"/>
      <c r="BZ17" s="578"/>
      <c r="CA17" s="578"/>
      <c r="CB17" s="578"/>
      <c r="CC17" s="578"/>
      <c r="CD17" s="578"/>
      <c r="CE17" s="578"/>
      <c r="CF17" s="578"/>
      <c r="CG17" s="578"/>
      <c r="CH17" s="578"/>
      <c r="CI17" s="578"/>
      <c r="CJ17" s="578"/>
      <c r="CK17" s="578"/>
      <c r="CL17" s="578"/>
      <c r="CM17" s="578"/>
      <c r="CN17" s="578"/>
      <c r="CO17" s="578"/>
      <c r="CP17" s="578"/>
      <c r="CQ17" s="578"/>
      <c r="CR17" s="578"/>
      <c r="CS17" s="578"/>
      <c r="CT17" s="578"/>
      <c r="CU17" s="578"/>
      <c r="CV17" s="578"/>
      <c r="CW17" s="578"/>
      <c r="CX17" s="578"/>
      <c r="CY17" s="578"/>
      <c r="CZ17" s="578"/>
      <c r="DA17" s="578"/>
      <c r="DB17" s="578"/>
      <c r="DC17" s="578"/>
      <c r="DD17" s="578"/>
      <c r="DE17" s="578"/>
      <c r="DF17" s="578"/>
      <c r="DG17" s="578"/>
      <c r="DH17" s="578"/>
      <c r="DI17" s="578"/>
      <c r="DJ17" s="578"/>
      <c r="DK17" s="578"/>
      <c r="DL17" s="578"/>
      <c r="DM17" s="578"/>
      <c r="DN17" s="578"/>
      <c r="DO17" s="578"/>
    </row>
    <row r="18" spans="2:119" s="574" customFormat="1" ht="18.75" hidden="1" customHeight="1" x14ac:dyDescent="0.3">
      <c r="B18" s="575">
        <v>42755</v>
      </c>
      <c r="C18" s="575" t="str">
        <f>MONTH(Table_NFI[[#This Row],[Distribution Date]]) &amp; "/" &amp; YEAR(Table_NFI[[#This Row],[Distribution Date]])</f>
        <v>1/2017</v>
      </c>
      <c r="D18" s="213" t="s">
        <v>420</v>
      </c>
      <c r="E18" s="213" t="s">
        <v>462</v>
      </c>
      <c r="F18" s="213" t="s">
        <v>378</v>
      </c>
      <c r="G18" s="213" t="s">
        <v>309</v>
      </c>
      <c r="H18" s="213" t="s">
        <v>347</v>
      </c>
      <c r="I18" s="197"/>
      <c r="J18" s="576"/>
      <c r="K18" s="576"/>
      <c r="L18" s="576">
        <v>1</v>
      </c>
      <c r="M18" s="576">
        <v>1</v>
      </c>
      <c r="N18" s="576">
        <v>4</v>
      </c>
      <c r="O18" s="576">
        <v>1</v>
      </c>
      <c r="P18" s="576">
        <v>4</v>
      </c>
      <c r="Q18" s="576">
        <v>1</v>
      </c>
      <c r="R18" s="576"/>
      <c r="S18" s="576">
        <v>1</v>
      </c>
      <c r="T18" s="576">
        <v>4</v>
      </c>
      <c r="U18" s="576"/>
      <c r="V18" s="576"/>
      <c r="W18" s="576"/>
      <c r="X18" s="576"/>
      <c r="Y18" s="576">
        <v>1</v>
      </c>
      <c r="Z18" s="576"/>
      <c r="AA18" s="576"/>
      <c r="AB18" s="576"/>
      <c r="AC18" s="577" t="e">
        <f>IF(NFI_Expiration=1,IF(#REF!&lt;VLOOKUP(L$5,NFI,5,0),1,0)*Table_NFI[[#This Row],[NFI Core Kit]],Table_NFI[NFI Core Kit])</f>
        <v>#REF!</v>
      </c>
      <c r="AD18" s="577" t="e">
        <f>IF(NFI_Expiration=1,IF(#REF!&lt;VLOOKUP(M$5,NFI,5,0),1,0)*Table_NFI[[#This Row],[Sanitary Kit]],Table_NFI[Sanitary Kit])</f>
        <v>#REF!</v>
      </c>
      <c r="AE18" s="577" t="e">
        <f>IF(NFI_Expiration=1,IF(#REF!&lt;VLOOKUP(N$5,NFI,5,0),1,0)*Table_NFI[[#This Row],[Mosquito net]],Table_NFI[Mosquito net])</f>
        <v>#REF!</v>
      </c>
      <c r="AF18" s="577"/>
      <c r="AG18" s="577"/>
      <c r="AH18" s="577"/>
      <c r="AI18" s="577"/>
      <c r="AJ18" s="577"/>
      <c r="AK18" s="577"/>
      <c r="AL18" s="577"/>
      <c r="AM18" s="577"/>
      <c r="AN18" s="577"/>
      <c r="AO18" s="577"/>
      <c r="AP18" s="577">
        <f>IF(Table_NFI[[#This Row],[Winter Clothes Adult]]+Table_NFI[[#This Row],[Winter Clothes Children]]+Table_NFI[[#This Row],[Winter Items Other]]+Table_NFI[[#This Row],[Winter Blanket]]&gt;0,1,0)</f>
        <v>0</v>
      </c>
      <c r="AQ18" s="577"/>
      <c r="AR18" s="577"/>
      <c r="AS18" s="577"/>
      <c r="AT18" s="220" t="str">
        <f>IFERROR(VLOOKUP(Table_NFI[[#This Row],[Location]],CL,2,0),"")</f>
        <v>MMR001CMP037</v>
      </c>
      <c r="AU18" s="197" t="s">
        <v>1240</v>
      </c>
      <c r="AV18" s="578"/>
      <c r="AW18" s="578"/>
      <c r="AX18" s="578"/>
      <c r="AY18" s="578"/>
      <c r="AZ18" s="578"/>
      <c r="BA18" s="578"/>
      <c r="BB18" s="578"/>
      <c r="BC18" s="578"/>
      <c r="BD18" s="578"/>
      <c r="BE18" s="578"/>
      <c r="BF18" s="578"/>
      <c r="BG18" s="578"/>
      <c r="BH18" s="578"/>
      <c r="BI18" s="578"/>
      <c r="BJ18" s="578"/>
      <c r="BK18" s="578"/>
      <c r="BL18" s="578"/>
      <c r="BM18" s="578"/>
      <c r="BN18" s="578"/>
      <c r="BO18" s="578"/>
      <c r="BP18" s="578"/>
      <c r="BQ18" s="578"/>
      <c r="BR18" s="578"/>
      <c r="BS18" s="578"/>
      <c r="BT18" s="578"/>
      <c r="BU18" s="578"/>
      <c r="BV18" s="578"/>
      <c r="BW18" s="578"/>
      <c r="BX18" s="578"/>
      <c r="BY18" s="578"/>
      <c r="BZ18" s="578"/>
      <c r="CA18" s="578"/>
      <c r="CB18" s="578"/>
      <c r="CC18" s="578"/>
      <c r="CD18" s="578"/>
      <c r="CE18" s="578"/>
      <c r="CF18" s="578"/>
      <c r="CG18" s="578"/>
      <c r="CH18" s="578"/>
      <c r="CI18" s="578"/>
      <c r="CJ18" s="578"/>
      <c r="CK18" s="578"/>
      <c r="CL18" s="578"/>
      <c r="CM18" s="578"/>
      <c r="CN18" s="578"/>
      <c r="CO18" s="578"/>
      <c r="CP18" s="578"/>
      <c r="CQ18" s="578"/>
      <c r="CR18" s="578"/>
      <c r="CS18" s="578"/>
      <c r="CT18" s="578"/>
      <c r="CU18" s="578"/>
      <c r="CV18" s="578"/>
      <c r="CW18" s="578"/>
      <c r="CX18" s="578"/>
      <c r="CY18" s="578"/>
      <c r="CZ18" s="578"/>
      <c r="DA18" s="578"/>
      <c r="DB18" s="578"/>
      <c r="DC18" s="578"/>
      <c r="DD18" s="578"/>
      <c r="DE18" s="578"/>
      <c r="DF18" s="578"/>
      <c r="DG18" s="578"/>
      <c r="DH18" s="578"/>
      <c r="DI18" s="578"/>
      <c r="DJ18" s="578"/>
      <c r="DK18" s="578"/>
      <c r="DL18" s="578"/>
      <c r="DM18" s="578"/>
      <c r="DN18" s="578"/>
      <c r="DO18" s="578"/>
    </row>
    <row r="19" spans="2:119" s="574" customFormat="1" ht="18.75" hidden="1" customHeight="1" x14ac:dyDescent="0.3">
      <c r="B19" s="575">
        <v>42755</v>
      </c>
      <c r="C19" s="575" t="str">
        <f>MONTH(Table_NFI[[#This Row],[Distribution Date]]) &amp; "/" &amp; YEAR(Table_NFI[[#This Row],[Distribution Date]])</f>
        <v>1/2017</v>
      </c>
      <c r="D19" s="213" t="s">
        <v>420</v>
      </c>
      <c r="E19" s="213" t="s">
        <v>424</v>
      </c>
      <c r="F19" s="213" t="s">
        <v>378</v>
      </c>
      <c r="G19" s="213" t="s">
        <v>151</v>
      </c>
      <c r="H19" s="213" t="s">
        <v>802</v>
      </c>
      <c r="I19" s="197"/>
      <c r="J19" s="576"/>
      <c r="K19" s="576"/>
      <c r="L19" s="576">
        <v>11</v>
      </c>
      <c r="M19" s="576">
        <v>11</v>
      </c>
      <c r="N19" s="576">
        <v>32</v>
      </c>
      <c r="O19" s="576">
        <v>11</v>
      </c>
      <c r="P19" s="576">
        <v>32</v>
      </c>
      <c r="Q19" s="576">
        <v>11</v>
      </c>
      <c r="R19" s="576"/>
      <c r="S19" s="576">
        <v>11</v>
      </c>
      <c r="T19" s="576">
        <v>52</v>
      </c>
      <c r="U19" s="576"/>
      <c r="V19" s="576"/>
      <c r="W19" s="576"/>
      <c r="X19" s="576"/>
      <c r="Y19" s="576">
        <v>11</v>
      </c>
      <c r="Z19" s="576"/>
      <c r="AA19" s="576"/>
      <c r="AB19" s="576">
        <v>11</v>
      </c>
      <c r="AC19" s="577" t="e">
        <f>IF(NFI_Expiration=1,IF(#REF!&lt;VLOOKUP(L$5,NFI,5,0),1,0)*Table_NFI[[#This Row],[NFI Core Kit]],Table_NFI[NFI Core Kit])</f>
        <v>#REF!</v>
      </c>
      <c r="AD19" s="577" t="e">
        <f>IF(NFI_Expiration=1,IF(#REF!&lt;VLOOKUP(M$5,NFI,5,0),1,0)*Table_NFI[[#This Row],[Sanitary Kit]],Table_NFI[Sanitary Kit])</f>
        <v>#REF!</v>
      </c>
      <c r="AE19" s="577" t="e">
        <f>IF(NFI_Expiration=1,IF(#REF!&lt;VLOOKUP(N$5,NFI,5,0),1,0)*Table_NFI[[#This Row],[Mosquito net]],Table_NFI[Mosquito net])</f>
        <v>#REF!</v>
      </c>
      <c r="AF19" s="577"/>
      <c r="AG19" s="577"/>
      <c r="AH19" s="577"/>
      <c r="AI19" s="577"/>
      <c r="AJ19" s="577"/>
      <c r="AK19" s="577"/>
      <c r="AL19" s="577"/>
      <c r="AM19" s="577"/>
      <c r="AN19" s="577"/>
      <c r="AO19" s="577"/>
      <c r="AP19" s="577">
        <f>IF(Table_NFI[[#This Row],[Winter Clothes Adult]]+Table_NFI[[#This Row],[Winter Clothes Children]]+Table_NFI[[#This Row],[Winter Items Other]]+Table_NFI[[#This Row],[Winter Blanket]]&gt;0,1,0)</f>
        <v>0</v>
      </c>
      <c r="AQ19" s="577"/>
      <c r="AR19" s="577"/>
      <c r="AS19" s="577"/>
      <c r="AT19" s="220" t="str">
        <f>IFERROR(VLOOKUP(Table_NFI[[#This Row],[Location]],CL,2,0),"")</f>
        <v>MMR001CMP212</v>
      </c>
      <c r="AU19" s="197" t="s">
        <v>1240</v>
      </c>
      <c r="AV19" s="578"/>
      <c r="AW19" s="578"/>
      <c r="AX19" s="578"/>
      <c r="AY19" s="578"/>
      <c r="AZ19" s="578"/>
      <c r="BA19" s="578"/>
      <c r="BB19" s="578"/>
      <c r="BC19" s="578"/>
      <c r="BD19" s="578"/>
      <c r="BE19" s="578"/>
      <c r="BF19" s="578"/>
      <c r="BG19" s="578"/>
      <c r="BH19" s="578"/>
      <c r="BI19" s="578"/>
      <c r="BJ19" s="578"/>
      <c r="BK19" s="578"/>
      <c r="BL19" s="578"/>
      <c r="BM19" s="578"/>
      <c r="BN19" s="578"/>
      <c r="BO19" s="578"/>
      <c r="BP19" s="578"/>
      <c r="BQ19" s="578"/>
      <c r="BR19" s="578"/>
      <c r="BS19" s="578"/>
      <c r="BT19" s="578"/>
      <c r="BU19" s="578"/>
      <c r="BV19" s="578"/>
      <c r="BW19" s="578"/>
      <c r="BX19" s="578"/>
      <c r="BY19" s="578"/>
      <c r="BZ19" s="578"/>
      <c r="CA19" s="578"/>
      <c r="CB19" s="578"/>
      <c r="CC19" s="578"/>
      <c r="CD19" s="578"/>
      <c r="CE19" s="578"/>
      <c r="CF19" s="578"/>
      <c r="CG19" s="578"/>
      <c r="CH19" s="578"/>
      <c r="CI19" s="578"/>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578"/>
    </row>
    <row r="20" spans="2:119" s="574" customFormat="1" ht="18.75" hidden="1" customHeight="1" x14ac:dyDescent="0.3">
      <c r="B20" s="575">
        <v>42758</v>
      </c>
      <c r="C20" s="575" t="str">
        <f>MONTH(Table_NFI[[#This Row],[Distribution Date]]) &amp; "/" &amp; YEAR(Table_NFI[[#This Row],[Distribution Date]])</f>
        <v>1/2017</v>
      </c>
      <c r="D20" s="212" t="s">
        <v>1390</v>
      </c>
      <c r="E20" s="212" t="s">
        <v>1390</v>
      </c>
      <c r="F20" s="213" t="s">
        <v>378</v>
      </c>
      <c r="G20" s="213" t="s">
        <v>309</v>
      </c>
      <c r="H20" s="213" t="s">
        <v>196</v>
      </c>
      <c r="I20" s="197"/>
      <c r="J20" s="576">
        <v>38</v>
      </c>
      <c r="K20" s="576"/>
      <c r="L20" s="576">
        <v>38</v>
      </c>
      <c r="M20" s="576">
        <v>342</v>
      </c>
      <c r="N20" s="576">
        <v>76</v>
      </c>
      <c r="O20" s="576"/>
      <c r="P20" s="576">
        <v>76</v>
      </c>
      <c r="Q20" s="576"/>
      <c r="R20" s="576"/>
      <c r="S20" s="576">
        <v>38</v>
      </c>
      <c r="T20" s="576">
        <v>76</v>
      </c>
      <c r="U20" s="576"/>
      <c r="V20" s="576"/>
      <c r="W20" s="576"/>
      <c r="X20" s="576"/>
      <c r="Y20" s="576">
        <v>38</v>
      </c>
      <c r="Z20" s="576"/>
      <c r="AA20" s="576"/>
      <c r="AB20" s="576"/>
      <c r="AC20" s="577"/>
      <c r="AD20" s="577"/>
      <c r="AE20" s="577"/>
      <c r="AF20" s="577"/>
      <c r="AG20" s="577"/>
      <c r="AH20" s="577"/>
      <c r="AI20" s="577"/>
      <c r="AJ20" s="577"/>
      <c r="AK20" s="577"/>
      <c r="AL20" s="577"/>
      <c r="AM20" s="577"/>
      <c r="AN20" s="577"/>
      <c r="AO20" s="577"/>
      <c r="AP20" s="577">
        <f>IF(Table_NFI[[#This Row],[Winter Clothes Adult]]+Table_NFI[[#This Row],[Winter Clothes Children]]+Table_NFI[[#This Row],[Winter Items Other]]+Table_NFI[[#This Row],[Winter Blanket]]&gt;0,1,0)</f>
        <v>0</v>
      </c>
      <c r="AQ20" s="577"/>
      <c r="AR20" s="577"/>
      <c r="AS20" s="577"/>
      <c r="AT20" s="220" t="str">
        <f>IFERROR(VLOOKUP(Table_NFI[[#This Row],[Location]],CL,2,0),"")</f>
        <v>MMR001CMP121</v>
      </c>
      <c r="AU20" s="214" t="s">
        <v>1261</v>
      </c>
      <c r="AV20" s="578"/>
      <c r="AW20" s="578"/>
      <c r="AX20" s="578"/>
      <c r="AY20" s="578"/>
      <c r="AZ20" s="578"/>
      <c r="BA20" s="578"/>
      <c r="BB20" s="578"/>
      <c r="BC20" s="578"/>
      <c r="BD20" s="578"/>
      <c r="BE20" s="578"/>
      <c r="BF20" s="578"/>
      <c r="BG20" s="578"/>
      <c r="BH20" s="578"/>
      <c r="BI20" s="578"/>
      <c r="BJ20" s="578"/>
      <c r="BK20" s="578"/>
      <c r="BL20" s="578"/>
      <c r="BM20" s="578"/>
      <c r="BN20" s="578"/>
      <c r="BO20" s="578"/>
      <c r="BP20" s="578"/>
      <c r="BQ20" s="578"/>
      <c r="BR20" s="578"/>
      <c r="BS20" s="578"/>
      <c r="BT20" s="578"/>
      <c r="BU20" s="578"/>
      <c r="BV20" s="578"/>
      <c r="BW20" s="578"/>
      <c r="BX20" s="578"/>
      <c r="BY20" s="578"/>
      <c r="BZ20" s="578"/>
      <c r="CA20" s="578"/>
      <c r="CB20" s="578"/>
      <c r="CC20" s="578"/>
      <c r="CD20" s="578"/>
      <c r="CE20" s="578"/>
      <c r="CF20" s="578"/>
      <c r="CG20" s="578"/>
      <c r="CH20" s="578"/>
      <c r="CI20" s="578"/>
      <c r="CJ20" s="578"/>
      <c r="CK20" s="578"/>
      <c r="CL20" s="578"/>
      <c r="CM20" s="578"/>
      <c r="CN20" s="578"/>
      <c r="CO20" s="578"/>
      <c r="CP20" s="578"/>
      <c r="CQ20" s="578"/>
      <c r="CR20" s="578"/>
      <c r="CS20" s="578"/>
      <c r="CT20" s="578"/>
      <c r="CU20" s="578"/>
      <c r="CV20" s="578"/>
      <c r="CW20" s="578"/>
      <c r="CX20" s="578"/>
      <c r="CY20" s="578"/>
      <c r="CZ20" s="578"/>
      <c r="DA20" s="578"/>
      <c r="DB20" s="578"/>
      <c r="DC20" s="578"/>
      <c r="DD20" s="578"/>
      <c r="DE20" s="578"/>
      <c r="DF20" s="578"/>
      <c r="DG20" s="578"/>
      <c r="DH20" s="578"/>
      <c r="DI20" s="578"/>
      <c r="DJ20" s="578"/>
      <c r="DK20" s="578"/>
      <c r="DL20" s="578"/>
      <c r="DM20" s="578"/>
      <c r="DN20" s="578"/>
      <c r="DO20" s="578"/>
    </row>
    <row r="21" spans="2:119" s="574" customFormat="1" ht="18.75" hidden="1" customHeight="1" x14ac:dyDescent="0.3">
      <c r="B21" s="575">
        <v>42758</v>
      </c>
      <c r="C21" s="575" t="str">
        <f>MONTH(Table_NFI[[#This Row],[Distribution Date]]) &amp; "/" &amp; YEAR(Table_NFI[[#This Row],[Distribution Date]])</f>
        <v>1/2017</v>
      </c>
      <c r="D21" s="213" t="s">
        <v>420</v>
      </c>
      <c r="E21" s="579" t="s">
        <v>1619</v>
      </c>
      <c r="F21" s="213" t="s">
        <v>378</v>
      </c>
      <c r="G21" s="213" t="s">
        <v>151</v>
      </c>
      <c r="H21" s="213" t="s">
        <v>801</v>
      </c>
      <c r="I21" s="197"/>
      <c r="J21" s="576"/>
      <c r="K21" s="576"/>
      <c r="L21" s="576">
        <v>24</v>
      </c>
      <c r="M21" s="576">
        <v>25</v>
      </c>
      <c r="N21" s="576">
        <v>45</v>
      </c>
      <c r="O21" s="576">
        <v>25</v>
      </c>
      <c r="P21" s="576">
        <v>45</v>
      </c>
      <c r="Q21" s="576">
        <v>25</v>
      </c>
      <c r="R21" s="576"/>
      <c r="S21" s="576">
        <v>25</v>
      </c>
      <c r="T21" s="576">
        <v>83</v>
      </c>
      <c r="U21" s="576"/>
      <c r="V21" s="576"/>
      <c r="W21" s="576"/>
      <c r="X21" s="576"/>
      <c r="Y21" s="576">
        <v>25</v>
      </c>
      <c r="Z21" s="576"/>
      <c r="AA21" s="576"/>
      <c r="AB21" s="576"/>
      <c r="AC21" s="577"/>
      <c r="AD21" s="577"/>
      <c r="AE21" s="577"/>
      <c r="AF21" s="577"/>
      <c r="AG21" s="577"/>
      <c r="AH21" s="577"/>
      <c r="AI21" s="577"/>
      <c r="AJ21" s="577"/>
      <c r="AK21" s="577"/>
      <c r="AL21" s="577"/>
      <c r="AM21" s="577"/>
      <c r="AN21" s="577"/>
      <c r="AO21" s="577"/>
      <c r="AP21" s="577">
        <f>IF(Table_NFI[[#This Row],[Winter Clothes Adult]]+Table_NFI[[#This Row],[Winter Clothes Children]]+Table_NFI[[#This Row],[Winter Items Other]]+Table_NFI[[#This Row],[Winter Blanket]]&gt;0,1,0)</f>
        <v>0</v>
      </c>
      <c r="AQ21" s="577"/>
      <c r="AR21" s="577"/>
      <c r="AS21" s="577"/>
      <c r="AT21" s="220" t="str">
        <f>IFERROR(VLOOKUP(Table_NFI[[#This Row],[Location]],CL,2,0),"")</f>
        <v>MMR001CMP213</v>
      </c>
      <c r="AU21" s="197" t="s">
        <v>1237</v>
      </c>
      <c r="AV21" s="578"/>
      <c r="AW21" s="578"/>
      <c r="AX21" s="578"/>
      <c r="AY21" s="578"/>
      <c r="AZ21" s="578"/>
      <c r="BA21" s="578"/>
      <c r="BB21" s="578"/>
      <c r="BC21" s="578"/>
      <c r="BD21" s="578"/>
      <c r="BE21" s="578"/>
      <c r="BF21" s="578"/>
      <c r="BG21" s="578"/>
      <c r="BH21" s="578"/>
      <c r="BI21" s="578"/>
      <c r="BJ21" s="578"/>
      <c r="BK21" s="578"/>
      <c r="BL21" s="578"/>
      <c r="BM21" s="578"/>
      <c r="BN21" s="578"/>
      <c r="BO21" s="578"/>
      <c r="BP21" s="578"/>
      <c r="BQ21" s="578"/>
      <c r="BR21" s="578"/>
      <c r="BS21" s="578"/>
      <c r="BT21" s="578"/>
      <c r="BU21" s="578"/>
      <c r="BV21" s="578"/>
      <c r="BW21" s="578"/>
      <c r="BX21" s="578"/>
      <c r="BY21" s="578"/>
      <c r="BZ21" s="578"/>
      <c r="CA21" s="578"/>
      <c r="CB21" s="578"/>
      <c r="CC21" s="578"/>
      <c r="CD21" s="578"/>
      <c r="CE21" s="578"/>
      <c r="CF21" s="578"/>
      <c r="CG21" s="578"/>
      <c r="CH21" s="578"/>
      <c r="CI21" s="578"/>
      <c r="CJ21" s="578"/>
      <c r="CK21" s="578"/>
      <c r="CL21" s="578"/>
      <c r="CM21" s="578"/>
      <c r="CN21" s="578"/>
      <c r="CO21" s="578"/>
      <c r="CP21" s="578"/>
      <c r="CQ21" s="578"/>
      <c r="CR21" s="578"/>
      <c r="CS21" s="578"/>
      <c r="CT21" s="578"/>
      <c r="CU21" s="578"/>
      <c r="CV21" s="578"/>
      <c r="CW21" s="578"/>
      <c r="CX21" s="578"/>
      <c r="CY21" s="578"/>
      <c r="CZ21" s="578"/>
      <c r="DA21" s="578"/>
      <c r="DB21" s="578"/>
      <c r="DC21" s="578"/>
      <c r="DD21" s="578"/>
      <c r="DE21" s="578"/>
      <c r="DF21" s="578"/>
      <c r="DG21" s="578"/>
      <c r="DH21" s="578"/>
      <c r="DI21" s="578"/>
      <c r="DJ21" s="578"/>
      <c r="DK21" s="578"/>
      <c r="DL21" s="578"/>
      <c r="DM21" s="578"/>
      <c r="DN21" s="578"/>
      <c r="DO21" s="578"/>
    </row>
    <row r="22" spans="2:119" s="574" customFormat="1" ht="18.75" hidden="1" customHeight="1" x14ac:dyDescent="0.3">
      <c r="B22" s="575">
        <v>42758</v>
      </c>
      <c r="C22" s="575" t="str">
        <f>MONTH(Table_NFI[[#This Row],[Distribution Date]]) &amp; "/" &amp; YEAR(Table_NFI[[#This Row],[Distribution Date]])</f>
        <v>1/2017</v>
      </c>
      <c r="D22" s="213" t="s">
        <v>420</v>
      </c>
      <c r="E22" s="579" t="s">
        <v>1619</v>
      </c>
      <c r="F22" s="213" t="s">
        <v>378</v>
      </c>
      <c r="G22" s="213" t="s">
        <v>151</v>
      </c>
      <c r="H22" s="213" t="s">
        <v>801</v>
      </c>
      <c r="I22" s="197"/>
      <c r="J22" s="576"/>
      <c r="K22" s="576"/>
      <c r="L22" s="576">
        <v>24</v>
      </c>
      <c r="M22" s="576">
        <v>25</v>
      </c>
      <c r="N22" s="576">
        <v>45</v>
      </c>
      <c r="O22" s="576">
        <v>25</v>
      </c>
      <c r="P22" s="576">
        <v>45</v>
      </c>
      <c r="Q22" s="576">
        <v>25</v>
      </c>
      <c r="R22" s="576"/>
      <c r="S22" s="576">
        <v>25</v>
      </c>
      <c r="T22" s="576">
        <v>83</v>
      </c>
      <c r="U22" s="576"/>
      <c r="V22" s="576"/>
      <c r="W22" s="576"/>
      <c r="X22" s="576"/>
      <c r="Y22" s="576"/>
      <c r="Z22" s="576"/>
      <c r="AA22" s="576"/>
      <c r="AB22" s="576"/>
      <c r="AC22" s="577"/>
      <c r="AD22" s="577"/>
      <c r="AE22" s="577"/>
      <c r="AF22" s="577"/>
      <c r="AG22" s="577"/>
      <c r="AH22" s="577"/>
      <c r="AI22" s="577"/>
      <c r="AJ22" s="577"/>
      <c r="AK22" s="577"/>
      <c r="AL22" s="577"/>
      <c r="AM22" s="577"/>
      <c r="AN22" s="577"/>
      <c r="AO22" s="577"/>
      <c r="AP22" s="577">
        <f>IF(Table_NFI[[#This Row],[Winter Clothes Adult]]+Table_NFI[[#This Row],[Winter Clothes Children]]+Table_NFI[[#This Row],[Winter Items Other]]+Table_NFI[[#This Row],[Winter Blanket]]&gt;0,1,0)</f>
        <v>0</v>
      </c>
      <c r="AQ22" s="577"/>
      <c r="AR22" s="577"/>
      <c r="AS22" s="577"/>
      <c r="AT22" s="220" t="str">
        <f>IFERROR(VLOOKUP(Table_NFI[[#This Row],[Location]],CL,2,0),"")</f>
        <v>MMR001CMP213</v>
      </c>
      <c r="AU22" s="197" t="s">
        <v>1237</v>
      </c>
      <c r="AV22" s="578"/>
      <c r="AW22" s="578"/>
      <c r="AX22" s="578"/>
      <c r="AY22" s="578"/>
      <c r="AZ22" s="578"/>
      <c r="BA22" s="578"/>
      <c r="BB22" s="578"/>
      <c r="BC22" s="578"/>
      <c r="BD22" s="578"/>
      <c r="BE22" s="578"/>
      <c r="BF22" s="578"/>
      <c r="BG22" s="578"/>
      <c r="BH22" s="578"/>
      <c r="BI22" s="578"/>
      <c r="BJ22" s="578"/>
      <c r="BK22" s="578"/>
      <c r="BL22" s="578"/>
      <c r="BM22" s="578"/>
      <c r="BN22" s="578"/>
      <c r="BO22" s="578"/>
      <c r="BP22" s="578"/>
      <c r="BQ22" s="578"/>
      <c r="BR22" s="578"/>
      <c r="BS22" s="578"/>
      <c r="BT22" s="578"/>
      <c r="BU22" s="578"/>
      <c r="BV22" s="578"/>
      <c r="BW22" s="578"/>
      <c r="BX22" s="578"/>
      <c r="BY22" s="578"/>
      <c r="BZ22" s="578"/>
      <c r="CA22" s="578"/>
      <c r="CB22" s="578"/>
      <c r="CC22" s="578"/>
      <c r="CD22" s="578"/>
      <c r="CE22" s="578"/>
      <c r="CF22" s="578"/>
      <c r="CG22" s="578"/>
      <c r="CH22" s="578"/>
      <c r="CI22" s="578"/>
      <c r="CJ22" s="578"/>
      <c r="CK22" s="578"/>
      <c r="CL22" s="578"/>
      <c r="CM22" s="578"/>
      <c r="CN22" s="578"/>
      <c r="CO22" s="578"/>
      <c r="CP22" s="578"/>
      <c r="CQ22" s="578"/>
      <c r="CR22" s="578"/>
      <c r="CS22" s="578"/>
      <c r="CT22" s="578"/>
      <c r="CU22" s="578"/>
      <c r="CV22" s="578"/>
      <c r="CW22" s="578"/>
      <c r="CX22" s="578"/>
      <c r="CY22" s="578"/>
      <c r="CZ22" s="578"/>
      <c r="DA22" s="578"/>
      <c r="DB22" s="578"/>
      <c r="DC22" s="578"/>
      <c r="DD22" s="578"/>
      <c r="DE22" s="578"/>
      <c r="DF22" s="578"/>
      <c r="DG22" s="578"/>
      <c r="DH22" s="578"/>
      <c r="DI22" s="578"/>
      <c r="DJ22" s="578"/>
      <c r="DK22" s="578"/>
      <c r="DL22" s="578"/>
      <c r="DM22" s="578"/>
      <c r="DN22" s="578"/>
      <c r="DO22" s="578"/>
    </row>
    <row r="23" spans="2:119" s="574" customFormat="1" ht="18.75" hidden="1" customHeight="1" x14ac:dyDescent="0.3">
      <c r="B23" s="575">
        <v>42761</v>
      </c>
      <c r="C23" s="575" t="str">
        <f>MONTH(Table_NFI[[#This Row],[Distribution Date]]) &amp; "/" &amp; YEAR(Table_NFI[[#This Row],[Distribution Date]])</f>
        <v>1/2017</v>
      </c>
      <c r="D23" s="213" t="s">
        <v>420</v>
      </c>
      <c r="E23" s="213" t="s">
        <v>424</v>
      </c>
      <c r="F23" s="213" t="s">
        <v>378</v>
      </c>
      <c r="G23" s="213" t="s">
        <v>309</v>
      </c>
      <c r="H23" s="213" t="s">
        <v>323</v>
      </c>
      <c r="I23" s="197"/>
      <c r="J23" s="576"/>
      <c r="K23" s="576"/>
      <c r="L23" s="576">
        <v>6</v>
      </c>
      <c r="M23" s="576">
        <v>6</v>
      </c>
      <c r="N23" s="576">
        <v>18</v>
      </c>
      <c r="O23" s="576">
        <v>6</v>
      </c>
      <c r="P23" s="576">
        <v>24</v>
      </c>
      <c r="Q23" s="576">
        <v>6</v>
      </c>
      <c r="R23" s="576"/>
      <c r="S23" s="576">
        <v>6</v>
      </c>
      <c r="T23" s="576">
        <v>24</v>
      </c>
      <c r="U23" s="576"/>
      <c r="V23" s="576"/>
      <c r="W23" s="576"/>
      <c r="X23" s="576"/>
      <c r="Y23" s="576">
        <v>6</v>
      </c>
      <c r="Z23" s="576"/>
      <c r="AA23" s="576"/>
      <c r="AB23" s="576">
        <v>6</v>
      </c>
      <c r="AC23" s="577"/>
      <c r="AD23" s="577"/>
      <c r="AE23" s="577"/>
      <c r="AF23" s="577"/>
      <c r="AG23" s="577"/>
      <c r="AH23" s="577"/>
      <c r="AI23" s="577"/>
      <c r="AJ23" s="577"/>
      <c r="AK23" s="577"/>
      <c r="AL23" s="577"/>
      <c r="AM23" s="577"/>
      <c r="AN23" s="577"/>
      <c r="AO23" s="577"/>
      <c r="AP23" s="577">
        <f>IF(Table_NFI[[#This Row],[Winter Clothes Adult]]+Table_NFI[[#This Row],[Winter Clothes Children]]+Table_NFI[[#This Row],[Winter Items Other]]+Table_NFI[[#This Row],[Winter Blanket]]&gt;0,1,0)</f>
        <v>0</v>
      </c>
      <c r="AQ23" s="577"/>
      <c r="AR23" s="577"/>
      <c r="AS23" s="577"/>
      <c r="AT23" s="220" t="str">
        <f>IFERROR(VLOOKUP(Table_NFI[[#This Row],[Location]],CL,2,0),"")</f>
        <v>MMR001CMP040</v>
      </c>
      <c r="AU23" s="197" t="s">
        <v>1240</v>
      </c>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8"/>
      <c r="CG23" s="578"/>
      <c r="CH23" s="578"/>
      <c r="CI23" s="578"/>
      <c r="CJ23" s="578"/>
      <c r="CK23" s="578"/>
      <c r="CL23" s="578"/>
      <c r="CM23" s="578"/>
      <c r="CN23" s="578"/>
      <c r="CO23" s="578"/>
      <c r="CP23" s="578"/>
      <c r="CQ23" s="578"/>
      <c r="CR23" s="578"/>
      <c r="CS23" s="578"/>
      <c r="CT23" s="578"/>
      <c r="CU23" s="578"/>
      <c r="CV23" s="578"/>
      <c r="CW23" s="578"/>
      <c r="CX23" s="578"/>
      <c r="CY23" s="578"/>
      <c r="CZ23" s="578"/>
      <c r="DA23" s="578"/>
      <c r="DB23" s="578"/>
      <c r="DC23" s="578"/>
      <c r="DD23" s="578"/>
      <c r="DE23" s="578"/>
      <c r="DF23" s="578"/>
      <c r="DG23" s="578"/>
      <c r="DH23" s="578"/>
      <c r="DI23" s="578"/>
      <c r="DJ23" s="578"/>
      <c r="DK23" s="578"/>
      <c r="DL23" s="578"/>
      <c r="DM23" s="578"/>
      <c r="DN23" s="578"/>
      <c r="DO23" s="578"/>
    </row>
    <row r="24" spans="2:119" s="574" customFormat="1" ht="18.75" hidden="1" customHeight="1" x14ac:dyDescent="0.3">
      <c r="B24" s="575">
        <v>42763</v>
      </c>
      <c r="C24" s="575" t="str">
        <f>MONTH(Table_NFI[[#This Row],[Distribution Date]]) &amp; "/" &amp; YEAR(Table_NFI[[#This Row],[Distribution Date]])</f>
        <v>1/2017</v>
      </c>
      <c r="D24" s="213" t="s">
        <v>420</v>
      </c>
      <c r="E24" s="213" t="s">
        <v>1089</v>
      </c>
      <c r="F24" s="213" t="s">
        <v>378</v>
      </c>
      <c r="G24" s="213" t="s">
        <v>309</v>
      </c>
      <c r="H24" s="213" t="s">
        <v>329</v>
      </c>
      <c r="I24" s="197"/>
      <c r="J24" s="576"/>
      <c r="K24" s="576"/>
      <c r="L24" s="576"/>
      <c r="M24" s="576"/>
      <c r="N24" s="576"/>
      <c r="O24" s="576"/>
      <c r="P24" s="576"/>
      <c r="Q24" s="576"/>
      <c r="R24" s="576"/>
      <c r="S24" s="576"/>
      <c r="T24" s="576"/>
      <c r="U24" s="576"/>
      <c r="V24" s="576"/>
      <c r="W24" s="576"/>
      <c r="X24" s="576"/>
      <c r="Y24" s="576"/>
      <c r="Z24" s="576"/>
      <c r="AA24" s="576"/>
      <c r="AB24" s="576">
        <v>10</v>
      </c>
      <c r="AC24" s="577"/>
      <c r="AD24" s="577"/>
      <c r="AE24" s="577"/>
      <c r="AF24" s="577"/>
      <c r="AG24" s="577"/>
      <c r="AH24" s="577"/>
      <c r="AI24" s="577"/>
      <c r="AJ24" s="577"/>
      <c r="AK24" s="577"/>
      <c r="AL24" s="577"/>
      <c r="AM24" s="577"/>
      <c r="AN24" s="577"/>
      <c r="AO24" s="577"/>
      <c r="AP24" s="577">
        <f>IF(Table_NFI[[#This Row],[Winter Clothes Adult]]+Table_NFI[[#This Row],[Winter Clothes Children]]+Table_NFI[[#This Row],[Winter Items Other]]+Table_NFI[[#This Row],[Winter Blanket]]&gt;0,1,0)</f>
        <v>0</v>
      </c>
      <c r="AQ24" s="577"/>
      <c r="AR24" s="577"/>
      <c r="AS24" s="577"/>
      <c r="AT24" s="220" t="str">
        <f>IFERROR(VLOOKUP(Table_NFI[[#This Row],[Location]],CL,2,0),"")</f>
        <v>MMR001CMP029</v>
      </c>
      <c r="AU24" s="197" t="s">
        <v>1240</v>
      </c>
      <c r="AV24" s="578"/>
      <c r="AW24" s="578"/>
      <c r="AX24" s="578"/>
      <c r="AY24" s="578"/>
      <c r="AZ24" s="578"/>
      <c r="BA24" s="578"/>
      <c r="BB24" s="578"/>
      <c r="BC24" s="578"/>
      <c r="BD24" s="578"/>
      <c r="BE24" s="578"/>
      <c r="BF24" s="578"/>
      <c r="BG24" s="578"/>
      <c r="BH24" s="578"/>
      <c r="BI24" s="578"/>
      <c r="BJ24" s="578"/>
      <c r="BK24" s="578"/>
      <c r="BL24" s="578"/>
      <c r="BM24" s="578"/>
      <c r="BN24" s="578"/>
      <c r="BO24" s="578"/>
      <c r="BP24" s="578"/>
      <c r="BQ24" s="578"/>
      <c r="BR24" s="578"/>
      <c r="BS24" s="578"/>
      <c r="BT24" s="578"/>
      <c r="BU24" s="578"/>
      <c r="BV24" s="578"/>
      <c r="BW24" s="578"/>
      <c r="BX24" s="578"/>
      <c r="BY24" s="578"/>
      <c r="BZ24" s="578"/>
      <c r="CA24" s="578"/>
      <c r="CB24" s="578"/>
      <c r="CC24" s="578"/>
      <c r="CD24" s="578"/>
      <c r="CE24" s="578"/>
      <c r="CF24" s="578"/>
      <c r="CG24" s="578"/>
      <c r="CH24" s="578"/>
      <c r="CI24" s="578"/>
      <c r="CJ24" s="578"/>
      <c r="CK24" s="578"/>
      <c r="CL24" s="578"/>
      <c r="CM24" s="578"/>
      <c r="CN24" s="578"/>
      <c r="CO24" s="578"/>
      <c r="CP24" s="578"/>
      <c r="CQ24" s="578"/>
      <c r="CR24" s="578"/>
      <c r="CS24" s="578"/>
      <c r="CT24" s="578"/>
      <c r="CU24" s="578"/>
      <c r="CV24" s="578"/>
      <c r="CW24" s="578"/>
      <c r="CX24" s="578"/>
      <c r="CY24" s="578"/>
      <c r="CZ24" s="578"/>
      <c r="DA24" s="578"/>
      <c r="DB24" s="578"/>
      <c r="DC24" s="578"/>
      <c r="DD24" s="578"/>
      <c r="DE24" s="578"/>
      <c r="DF24" s="578"/>
      <c r="DG24" s="578"/>
      <c r="DH24" s="578"/>
      <c r="DI24" s="578"/>
      <c r="DJ24" s="578"/>
      <c r="DK24" s="578"/>
      <c r="DL24" s="578"/>
      <c r="DM24" s="578"/>
      <c r="DN24" s="578"/>
      <c r="DO24" s="578"/>
    </row>
    <row r="25" spans="2:119" s="574" customFormat="1" ht="18.75" hidden="1" customHeight="1" x14ac:dyDescent="0.3">
      <c r="B25" s="575">
        <v>42766</v>
      </c>
      <c r="C25" s="575" t="str">
        <f>MONTH(Table_NFI[[#This Row],[Distribution Date]]) &amp; "/" &amp; YEAR(Table_NFI[[#This Row],[Distribution Date]])</f>
        <v>1/2017</v>
      </c>
      <c r="D25" s="213" t="s">
        <v>420</v>
      </c>
      <c r="E25" s="213" t="s">
        <v>1089</v>
      </c>
      <c r="F25" s="213" t="s">
        <v>378</v>
      </c>
      <c r="G25" s="213" t="s">
        <v>237</v>
      </c>
      <c r="H25" s="213" t="s">
        <v>272</v>
      </c>
      <c r="I25" s="197"/>
      <c r="J25" s="576"/>
      <c r="K25" s="576"/>
      <c r="L25" s="576">
        <v>1</v>
      </c>
      <c r="M25" s="576">
        <v>1</v>
      </c>
      <c r="N25" s="576">
        <v>3</v>
      </c>
      <c r="O25" s="576">
        <v>1</v>
      </c>
      <c r="P25" s="576">
        <v>3</v>
      </c>
      <c r="Q25" s="576">
        <v>1</v>
      </c>
      <c r="R25" s="576"/>
      <c r="S25" s="576">
        <v>1</v>
      </c>
      <c r="T25" s="576">
        <v>3</v>
      </c>
      <c r="U25" s="576"/>
      <c r="V25" s="576"/>
      <c r="W25" s="576"/>
      <c r="X25" s="576"/>
      <c r="Y25" s="576">
        <v>1</v>
      </c>
      <c r="Z25" s="576"/>
      <c r="AA25" s="576"/>
      <c r="AB25" s="576"/>
      <c r="AC25" s="577"/>
      <c r="AD25" s="577"/>
      <c r="AE25" s="577"/>
      <c r="AF25" s="577"/>
      <c r="AG25" s="577"/>
      <c r="AH25" s="577"/>
      <c r="AI25" s="577"/>
      <c r="AJ25" s="577"/>
      <c r="AK25" s="577"/>
      <c r="AL25" s="577"/>
      <c r="AM25" s="577"/>
      <c r="AN25" s="577"/>
      <c r="AO25" s="577"/>
      <c r="AP25" s="577">
        <f>IF(Table_NFI[[#This Row],[Winter Clothes Adult]]+Table_NFI[[#This Row],[Winter Clothes Children]]+Table_NFI[[#This Row],[Winter Items Other]]+Table_NFI[[#This Row],[Winter Blanket]]&gt;0,1,0)</f>
        <v>0</v>
      </c>
      <c r="AQ25" s="577"/>
      <c r="AR25" s="577"/>
      <c r="AS25" s="577"/>
      <c r="AT25" s="220" t="str">
        <f>IFERROR(VLOOKUP(Table_NFI[[#This Row],[Location]],CL,2,0),"")</f>
        <v>MMR001CMP162</v>
      </c>
      <c r="AU25" s="197" t="s">
        <v>1238</v>
      </c>
      <c r="AV25" s="578"/>
      <c r="AW25" s="578"/>
      <c r="AX25" s="578"/>
      <c r="AY25" s="578"/>
      <c r="AZ25" s="578"/>
      <c r="BA25" s="578"/>
      <c r="BB25" s="578"/>
      <c r="BC25" s="578"/>
      <c r="BD25" s="578"/>
      <c r="BE25" s="578"/>
      <c r="BF25" s="578"/>
      <c r="BG25" s="578"/>
      <c r="BH25" s="578"/>
      <c r="BI25" s="578"/>
      <c r="BJ25" s="578"/>
      <c r="BK25" s="578"/>
      <c r="BL25" s="578"/>
      <c r="BM25" s="578"/>
      <c r="BN25" s="578"/>
      <c r="BO25" s="578"/>
      <c r="BP25" s="578"/>
      <c r="BQ25" s="578"/>
      <c r="BR25" s="578"/>
      <c r="BS25" s="578"/>
      <c r="BT25" s="578"/>
      <c r="BU25" s="578"/>
      <c r="BV25" s="578"/>
      <c r="BW25" s="578"/>
      <c r="BX25" s="578"/>
      <c r="BY25" s="578"/>
      <c r="BZ25" s="578"/>
      <c r="CA25" s="578"/>
      <c r="CB25" s="578"/>
      <c r="CC25" s="578"/>
      <c r="CD25" s="578"/>
      <c r="CE25" s="578"/>
      <c r="CF25" s="578"/>
      <c r="CG25" s="578"/>
      <c r="CH25" s="578"/>
      <c r="CI25" s="578"/>
      <c r="CJ25" s="578"/>
      <c r="CK25" s="578"/>
      <c r="CL25" s="578"/>
      <c r="CM25" s="578"/>
      <c r="CN25" s="578"/>
      <c r="CO25" s="578"/>
      <c r="CP25" s="578"/>
      <c r="CQ25" s="578"/>
      <c r="CR25" s="578"/>
      <c r="CS25" s="578"/>
      <c r="CT25" s="578"/>
      <c r="CU25" s="578"/>
      <c r="CV25" s="578"/>
      <c r="CW25" s="578"/>
      <c r="CX25" s="578"/>
      <c r="CY25" s="578"/>
      <c r="CZ25" s="578"/>
      <c r="DA25" s="578"/>
      <c r="DB25" s="578"/>
      <c r="DC25" s="578"/>
      <c r="DD25" s="578"/>
      <c r="DE25" s="578"/>
      <c r="DF25" s="578"/>
      <c r="DG25" s="578"/>
      <c r="DH25" s="578"/>
      <c r="DI25" s="578"/>
      <c r="DJ25" s="578"/>
      <c r="DK25" s="578"/>
      <c r="DL25" s="578"/>
      <c r="DM25" s="578"/>
      <c r="DN25" s="578"/>
      <c r="DO25" s="578"/>
    </row>
    <row r="26" spans="2:119" s="574" customFormat="1" ht="18.75" hidden="1" customHeight="1" x14ac:dyDescent="0.3">
      <c r="B26" s="575">
        <v>42766</v>
      </c>
      <c r="C26" s="575" t="str">
        <f>MONTH(Table_NFI[[#This Row],[Distribution Date]]) &amp; "/" &amp; YEAR(Table_NFI[[#This Row],[Distribution Date]])</f>
        <v>1/2017</v>
      </c>
      <c r="D26" s="213" t="s">
        <v>420</v>
      </c>
      <c r="E26" s="213" t="s">
        <v>1089</v>
      </c>
      <c r="F26" s="213" t="s">
        <v>378</v>
      </c>
      <c r="G26" s="213" t="s">
        <v>309</v>
      </c>
      <c r="H26" s="213" t="s">
        <v>329</v>
      </c>
      <c r="I26" s="197"/>
      <c r="J26" s="576"/>
      <c r="K26" s="576"/>
      <c r="L26" s="576">
        <v>22</v>
      </c>
      <c r="M26" s="576">
        <v>22</v>
      </c>
      <c r="N26" s="576">
        <v>76</v>
      </c>
      <c r="O26" s="576">
        <v>22</v>
      </c>
      <c r="P26" s="576">
        <v>76</v>
      </c>
      <c r="Q26" s="576">
        <v>22</v>
      </c>
      <c r="R26" s="576"/>
      <c r="S26" s="576">
        <v>22</v>
      </c>
      <c r="T26" s="576">
        <v>76</v>
      </c>
      <c r="U26" s="576"/>
      <c r="V26" s="576"/>
      <c r="W26" s="576"/>
      <c r="X26" s="576"/>
      <c r="Y26" s="576">
        <v>22</v>
      </c>
      <c r="Z26" s="576"/>
      <c r="AA26" s="576"/>
      <c r="AB26" s="576"/>
      <c r="AC26" s="577"/>
      <c r="AD26" s="577"/>
      <c r="AE26" s="577"/>
      <c r="AF26" s="577"/>
      <c r="AG26" s="577"/>
      <c r="AH26" s="577"/>
      <c r="AI26" s="577"/>
      <c r="AJ26" s="577"/>
      <c r="AK26" s="577"/>
      <c r="AL26" s="577"/>
      <c r="AM26" s="577"/>
      <c r="AN26" s="577"/>
      <c r="AO26" s="577"/>
      <c r="AP26" s="577">
        <f>IF(Table_NFI[[#This Row],[Winter Clothes Adult]]+Table_NFI[[#This Row],[Winter Clothes Children]]+Table_NFI[[#This Row],[Winter Items Other]]+Table_NFI[[#This Row],[Winter Blanket]]&gt;0,1,0)</f>
        <v>0</v>
      </c>
      <c r="AQ26" s="577"/>
      <c r="AR26" s="577"/>
      <c r="AS26" s="577"/>
      <c r="AT26" s="220" t="str">
        <f>IFERROR(VLOOKUP(Table_NFI[[#This Row],[Location]],CL,2,0),"")</f>
        <v>MMR001CMP029</v>
      </c>
      <c r="AU26" s="197" t="s">
        <v>1240</v>
      </c>
      <c r="AV26" s="578"/>
      <c r="AW26" s="578"/>
      <c r="AX26" s="578"/>
      <c r="AY26" s="578"/>
      <c r="AZ26" s="578"/>
      <c r="BA26" s="578"/>
      <c r="BB26" s="578"/>
      <c r="BC26" s="578"/>
      <c r="BD26" s="578"/>
      <c r="BE26" s="578"/>
      <c r="BF26" s="578"/>
      <c r="BG26" s="578"/>
      <c r="BH26" s="578"/>
      <c r="BI26" s="578"/>
      <c r="BJ26" s="578"/>
      <c r="BK26" s="578"/>
      <c r="BL26" s="578"/>
      <c r="BM26" s="578"/>
      <c r="BN26" s="578"/>
      <c r="BO26" s="578"/>
      <c r="BP26" s="578"/>
      <c r="BQ26" s="578"/>
      <c r="BR26" s="578"/>
      <c r="BS26" s="578"/>
      <c r="BT26" s="578"/>
      <c r="BU26" s="578"/>
      <c r="BV26" s="578"/>
      <c r="BW26" s="578"/>
      <c r="BX26" s="578"/>
      <c r="BY26" s="578"/>
      <c r="BZ26" s="578"/>
      <c r="CA26" s="578"/>
      <c r="CB26" s="578"/>
      <c r="CC26" s="578"/>
      <c r="CD26" s="578"/>
      <c r="CE26" s="578"/>
      <c r="CF26" s="578"/>
      <c r="CG26" s="578"/>
      <c r="CH26" s="578"/>
      <c r="CI26" s="578"/>
      <c r="CJ26" s="578"/>
      <c r="CK26" s="578"/>
      <c r="CL26" s="578"/>
      <c r="CM26" s="578"/>
      <c r="CN26" s="578"/>
      <c r="CO26" s="578"/>
      <c r="CP26" s="578"/>
      <c r="CQ26" s="578"/>
      <c r="CR26" s="578"/>
      <c r="CS26" s="578"/>
      <c r="CT26" s="578"/>
      <c r="CU26" s="578"/>
      <c r="CV26" s="578"/>
      <c r="CW26" s="578"/>
      <c r="CX26" s="578"/>
      <c r="CY26" s="578"/>
      <c r="CZ26" s="578"/>
      <c r="DA26" s="578"/>
      <c r="DB26" s="578"/>
      <c r="DC26" s="578"/>
      <c r="DD26" s="578"/>
      <c r="DE26" s="578"/>
      <c r="DF26" s="578"/>
      <c r="DG26" s="578"/>
      <c r="DH26" s="578"/>
      <c r="DI26" s="578"/>
      <c r="DJ26" s="578"/>
      <c r="DK26" s="578"/>
      <c r="DL26" s="578"/>
      <c r="DM26" s="578"/>
      <c r="DN26" s="578"/>
      <c r="DO26" s="578"/>
    </row>
    <row r="27" spans="2:119" s="574" customFormat="1" ht="18.75" hidden="1" customHeight="1" x14ac:dyDescent="0.3">
      <c r="B27" s="575">
        <v>42767</v>
      </c>
      <c r="C27" s="575" t="str">
        <f>MONTH(Table_NFI[[#This Row],[Distribution Date]]) &amp; "/" &amp; YEAR(Table_NFI[[#This Row],[Distribution Date]])</f>
        <v>2/2017</v>
      </c>
      <c r="D27" s="213" t="s">
        <v>420</v>
      </c>
      <c r="E27" s="213" t="s">
        <v>424</v>
      </c>
      <c r="F27" s="213" t="s">
        <v>378</v>
      </c>
      <c r="G27" s="213" t="s">
        <v>301</v>
      </c>
      <c r="H27" s="213" t="s">
        <v>305</v>
      </c>
      <c r="I27" s="197"/>
      <c r="J27" s="576"/>
      <c r="K27" s="576"/>
      <c r="L27" s="576"/>
      <c r="M27" s="576">
        <v>50</v>
      </c>
      <c r="N27" s="576"/>
      <c r="O27" s="576"/>
      <c r="P27" s="576"/>
      <c r="Q27" s="576"/>
      <c r="R27" s="576"/>
      <c r="S27" s="576"/>
      <c r="T27" s="576"/>
      <c r="U27" s="576"/>
      <c r="V27" s="576"/>
      <c r="W27" s="576"/>
      <c r="X27" s="576"/>
      <c r="Y27" s="576"/>
      <c r="Z27" s="576"/>
      <c r="AA27" s="576"/>
      <c r="AB27" s="576"/>
      <c r="AC27" s="577"/>
      <c r="AD27" s="577"/>
      <c r="AE27" s="577"/>
      <c r="AF27" s="577"/>
      <c r="AG27" s="577"/>
      <c r="AH27" s="577"/>
      <c r="AI27" s="577"/>
      <c r="AJ27" s="577"/>
      <c r="AK27" s="577"/>
      <c r="AL27" s="577"/>
      <c r="AM27" s="577"/>
      <c r="AN27" s="577"/>
      <c r="AO27" s="577"/>
      <c r="AP27" s="577">
        <f>IF(Table_NFI[[#This Row],[Winter Clothes Adult]]+Table_NFI[[#This Row],[Winter Clothes Children]]+Table_NFI[[#This Row],[Winter Items Other]]+Table_NFI[[#This Row],[Winter Blanket]]&gt;0,1,0)</f>
        <v>0</v>
      </c>
      <c r="AQ27" s="577"/>
      <c r="AR27" s="577"/>
      <c r="AS27" s="577"/>
      <c r="AT27" s="220" t="str">
        <f>IFERROR(VLOOKUP(Table_NFI[[#This Row],[Location]],CL,2,0),"")</f>
        <v>MMR001CMP067</v>
      </c>
      <c r="AU27" s="197" t="s">
        <v>1240</v>
      </c>
      <c r="AV27" s="578"/>
      <c r="AW27" s="578"/>
      <c r="AX27" s="578"/>
      <c r="AY27" s="578"/>
      <c r="AZ27" s="578"/>
      <c r="BA27" s="578"/>
      <c r="BB27" s="578"/>
      <c r="BC27" s="578"/>
      <c r="BD27" s="578"/>
      <c r="BE27" s="578"/>
      <c r="BF27" s="578"/>
      <c r="BG27" s="578"/>
      <c r="BH27" s="578"/>
      <c r="BI27" s="578"/>
      <c r="BJ27" s="578"/>
      <c r="BK27" s="578"/>
      <c r="BL27" s="578"/>
      <c r="BM27" s="578"/>
      <c r="BN27" s="578"/>
      <c r="BO27" s="578"/>
      <c r="BP27" s="578"/>
      <c r="BQ27" s="578"/>
      <c r="BR27" s="578"/>
      <c r="BS27" s="578"/>
      <c r="BT27" s="578"/>
      <c r="BU27" s="578"/>
      <c r="BV27" s="578"/>
      <c r="BW27" s="578"/>
      <c r="BX27" s="578"/>
      <c r="BY27" s="578"/>
      <c r="BZ27" s="578"/>
      <c r="CA27" s="578"/>
      <c r="CB27" s="578"/>
      <c r="CC27" s="578"/>
      <c r="CD27" s="578"/>
      <c r="CE27" s="578"/>
      <c r="CF27" s="578"/>
      <c r="CG27" s="578"/>
      <c r="CH27" s="578"/>
      <c r="CI27" s="578"/>
      <c r="CJ27" s="578"/>
      <c r="CK27" s="578"/>
      <c r="CL27" s="578"/>
      <c r="CM27" s="578"/>
      <c r="CN27" s="578"/>
      <c r="CO27" s="578"/>
      <c r="CP27" s="578"/>
      <c r="CQ27" s="578"/>
      <c r="CR27" s="578"/>
      <c r="CS27" s="578"/>
      <c r="CT27" s="578"/>
      <c r="CU27" s="578"/>
      <c r="CV27" s="578"/>
      <c r="CW27" s="578"/>
      <c r="CX27" s="578"/>
      <c r="CY27" s="578"/>
      <c r="CZ27" s="578"/>
      <c r="DA27" s="578"/>
      <c r="DB27" s="578"/>
      <c r="DC27" s="578"/>
      <c r="DD27" s="578"/>
      <c r="DE27" s="578"/>
      <c r="DF27" s="578"/>
      <c r="DG27" s="578"/>
      <c r="DH27" s="578"/>
      <c r="DI27" s="578"/>
      <c r="DJ27" s="578"/>
      <c r="DK27" s="578"/>
      <c r="DL27" s="578"/>
      <c r="DM27" s="578"/>
      <c r="DN27" s="578"/>
      <c r="DO27" s="578"/>
    </row>
    <row r="28" spans="2:119" s="574" customFormat="1" ht="18.75" hidden="1" customHeight="1" x14ac:dyDescent="0.3">
      <c r="B28" s="575">
        <v>42768</v>
      </c>
      <c r="C28" s="575" t="str">
        <f>MONTH(Table_NFI[[#This Row],[Distribution Date]]) &amp; "/" &amp; YEAR(Table_NFI[[#This Row],[Distribution Date]])</f>
        <v>2/2017</v>
      </c>
      <c r="D28" s="213" t="s">
        <v>420</v>
      </c>
      <c r="E28" s="579" t="s">
        <v>1619</v>
      </c>
      <c r="F28" s="213" t="s">
        <v>378</v>
      </c>
      <c r="G28" s="213" t="s">
        <v>151</v>
      </c>
      <c r="H28" s="213" t="s">
        <v>847</v>
      </c>
      <c r="I28" s="197"/>
      <c r="J28" s="576"/>
      <c r="K28" s="576"/>
      <c r="L28" s="576">
        <v>25</v>
      </c>
      <c r="M28" s="576">
        <v>25</v>
      </c>
      <c r="N28" s="576">
        <v>25</v>
      </c>
      <c r="O28" s="576">
        <v>25</v>
      </c>
      <c r="P28" s="576">
        <v>45</v>
      </c>
      <c r="Q28" s="576">
        <v>25</v>
      </c>
      <c r="R28" s="576"/>
      <c r="S28" s="576">
        <v>25</v>
      </c>
      <c r="T28" s="576">
        <v>83</v>
      </c>
      <c r="U28" s="576"/>
      <c r="V28" s="576"/>
      <c r="W28" s="576"/>
      <c r="X28" s="576"/>
      <c r="Y28" s="576">
        <v>25</v>
      </c>
      <c r="Z28" s="576"/>
      <c r="AA28" s="576"/>
      <c r="AB28" s="576"/>
      <c r="AC28" s="577"/>
      <c r="AD28" s="577"/>
      <c r="AE28" s="577"/>
      <c r="AF28" s="577"/>
      <c r="AG28" s="577"/>
      <c r="AH28" s="577"/>
      <c r="AI28" s="577"/>
      <c r="AJ28" s="577"/>
      <c r="AK28" s="577"/>
      <c r="AL28" s="577"/>
      <c r="AM28" s="577"/>
      <c r="AN28" s="577"/>
      <c r="AO28" s="577"/>
      <c r="AP28" s="577">
        <f>IF(Table_NFI[[#This Row],[Winter Clothes Adult]]+Table_NFI[[#This Row],[Winter Clothes Children]]+Table_NFI[[#This Row],[Winter Items Other]]+Table_NFI[[#This Row],[Winter Blanket]]&gt;0,1,0)</f>
        <v>0</v>
      </c>
      <c r="AQ28" s="577"/>
      <c r="AR28" s="577"/>
      <c r="AS28" s="577"/>
      <c r="AT28" s="220" t="str">
        <f>IFERROR(VLOOKUP(Table_NFI[[#This Row],[Location]],CL,2,0),"")</f>
        <v>MMR001CMP223</v>
      </c>
      <c r="AU28" s="197" t="s">
        <v>1240</v>
      </c>
      <c r="AV28" s="578"/>
      <c r="AW28" s="578"/>
      <c r="AX28" s="578"/>
      <c r="AY28" s="578"/>
      <c r="AZ28" s="578"/>
      <c r="BA28" s="578"/>
      <c r="BB28" s="578"/>
      <c r="BC28" s="578"/>
      <c r="BD28" s="578"/>
      <c r="BE28" s="578"/>
      <c r="BF28" s="578"/>
      <c r="BG28" s="578"/>
      <c r="BH28" s="578"/>
      <c r="BI28" s="578"/>
      <c r="BJ28" s="578"/>
      <c r="BK28" s="578"/>
      <c r="BL28" s="578"/>
      <c r="BM28" s="578"/>
      <c r="BN28" s="578"/>
      <c r="BO28" s="578"/>
      <c r="BP28" s="578"/>
      <c r="BQ28" s="578"/>
      <c r="BR28" s="578"/>
      <c r="BS28" s="578"/>
      <c r="BT28" s="578"/>
      <c r="BU28" s="578"/>
      <c r="BV28" s="578"/>
      <c r="BW28" s="578"/>
      <c r="BX28" s="578"/>
      <c r="BY28" s="578"/>
      <c r="BZ28" s="578"/>
      <c r="CA28" s="578"/>
      <c r="CB28" s="578"/>
      <c r="CC28" s="578"/>
      <c r="CD28" s="578"/>
      <c r="CE28" s="578"/>
      <c r="CF28" s="578"/>
      <c r="CG28" s="578"/>
      <c r="CH28" s="578"/>
      <c r="CI28" s="578"/>
      <c r="CJ28" s="578"/>
      <c r="CK28" s="578"/>
      <c r="CL28" s="578"/>
      <c r="CM28" s="578"/>
      <c r="CN28" s="578"/>
      <c r="CO28" s="578"/>
      <c r="CP28" s="578"/>
      <c r="CQ28" s="578"/>
      <c r="CR28" s="578"/>
      <c r="CS28" s="578"/>
      <c r="CT28" s="578"/>
      <c r="CU28" s="578"/>
      <c r="CV28" s="578"/>
      <c r="CW28" s="578"/>
      <c r="CX28" s="578"/>
      <c r="CY28" s="578"/>
      <c r="CZ28" s="578"/>
      <c r="DA28" s="578"/>
      <c r="DB28" s="578"/>
      <c r="DC28" s="578"/>
      <c r="DD28" s="578"/>
      <c r="DE28" s="578"/>
      <c r="DF28" s="578"/>
      <c r="DG28" s="578"/>
      <c r="DH28" s="578"/>
      <c r="DI28" s="578"/>
      <c r="DJ28" s="578"/>
      <c r="DK28" s="578"/>
      <c r="DL28" s="578"/>
      <c r="DM28" s="578"/>
      <c r="DN28" s="578"/>
      <c r="DO28" s="578"/>
    </row>
    <row r="29" spans="2:119" s="574" customFormat="1" ht="18.75" hidden="1" customHeight="1" x14ac:dyDescent="0.3">
      <c r="B29" s="575">
        <v>42775</v>
      </c>
      <c r="C29" s="575" t="str">
        <f>MONTH(Table_NFI[[#This Row],[Distribution Date]]) &amp; "/" &amp; YEAR(Table_NFI[[#This Row],[Distribution Date]])</f>
        <v>2/2017</v>
      </c>
      <c r="D29" s="213" t="s">
        <v>420</v>
      </c>
      <c r="E29" s="213" t="s">
        <v>424</v>
      </c>
      <c r="F29" s="213" t="s">
        <v>378</v>
      </c>
      <c r="G29" s="213" t="s">
        <v>309</v>
      </c>
      <c r="H29" s="213" t="s">
        <v>323</v>
      </c>
      <c r="I29" s="197"/>
      <c r="J29" s="576"/>
      <c r="K29" s="576"/>
      <c r="L29" s="576">
        <v>17</v>
      </c>
      <c r="M29" s="576">
        <v>17</v>
      </c>
      <c r="N29" s="576">
        <v>114</v>
      </c>
      <c r="O29" s="576">
        <v>17</v>
      </c>
      <c r="P29" s="576">
        <v>174</v>
      </c>
      <c r="Q29" s="576">
        <v>17</v>
      </c>
      <c r="R29" s="576"/>
      <c r="S29" s="576">
        <v>17</v>
      </c>
      <c r="T29" s="576">
        <v>188</v>
      </c>
      <c r="U29" s="576"/>
      <c r="V29" s="576"/>
      <c r="W29" s="576"/>
      <c r="X29" s="576"/>
      <c r="Y29" s="576">
        <v>17</v>
      </c>
      <c r="Z29" s="576"/>
      <c r="AA29" s="576"/>
      <c r="AB29" s="576">
        <v>49</v>
      </c>
      <c r="AC29" s="577"/>
      <c r="AD29" s="577"/>
      <c r="AE29" s="577"/>
      <c r="AF29" s="577"/>
      <c r="AG29" s="577"/>
      <c r="AH29" s="577"/>
      <c r="AI29" s="577"/>
      <c r="AJ29" s="577"/>
      <c r="AK29" s="577"/>
      <c r="AL29" s="577"/>
      <c r="AM29" s="577"/>
      <c r="AN29" s="577"/>
      <c r="AO29" s="577"/>
      <c r="AP29" s="577">
        <f>IF(Table_NFI[[#This Row],[Winter Clothes Adult]]+Table_NFI[[#This Row],[Winter Clothes Children]]+Table_NFI[[#This Row],[Winter Items Other]]+Table_NFI[[#This Row],[Winter Blanket]]&gt;0,1,0)</f>
        <v>0</v>
      </c>
      <c r="AQ29" s="577"/>
      <c r="AR29" s="577"/>
      <c r="AS29" s="577"/>
      <c r="AT29" s="220" t="str">
        <f>IFERROR(VLOOKUP(Table_NFI[[#This Row],[Location]],CL,2,0),"")</f>
        <v>MMR001CMP040</v>
      </c>
      <c r="AU29" s="197" t="s">
        <v>1240</v>
      </c>
      <c r="AV29" s="578"/>
      <c r="AW29" s="578"/>
      <c r="AX29" s="578"/>
      <c r="AY29" s="578"/>
      <c r="AZ29" s="578"/>
      <c r="BA29" s="578"/>
      <c r="BB29" s="578"/>
      <c r="BC29" s="578"/>
      <c r="BD29" s="578"/>
      <c r="BE29" s="578"/>
      <c r="BF29" s="578"/>
      <c r="BG29" s="578"/>
      <c r="BH29" s="578"/>
      <c r="BI29" s="578"/>
      <c r="BJ29" s="578"/>
      <c r="BK29" s="578"/>
      <c r="BL29" s="578"/>
      <c r="BM29" s="578"/>
      <c r="BN29" s="578"/>
      <c r="BO29" s="578"/>
      <c r="BP29" s="578"/>
      <c r="BQ29" s="578"/>
      <c r="BR29" s="578"/>
      <c r="BS29" s="578"/>
      <c r="BT29" s="578"/>
      <c r="BU29" s="578"/>
      <c r="BV29" s="578"/>
      <c r="BW29" s="578"/>
      <c r="BX29" s="578"/>
      <c r="BY29" s="578"/>
      <c r="BZ29" s="578"/>
      <c r="CA29" s="578"/>
      <c r="CB29" s="578"/>
      <c r="CC29" s="578"/>
      <c r="CD29" s="578"/>
      <c r="CE29" s="578"/>
      <c r="CF29" s="578"/>
      <c r="CG29" s="578"/>
      <c r="CH29" s="578"/>
      <c r="CI29" s="578"/>
      <c r="CJ29" s="578"/>
      <c r="CK29" s="578"/>
      <c r="CL29" s="578"/>
      <c r="CM29" s="578"/>
      <c r="CN29" s="578"/>
      <c r="CO29" s="578"/>
      <c r="CP29" s="578"/>
      <c r="CQ29" s="578"/>
      <c r="CR29" s="578"/>
      <c r="CS29" s="578"/>
      <c r="CT29" s="578"/>
      <c r="CU29" s="578"/>
      <c r="CV29" s="578"/>
      <c r="CW29" s="578"/>
      <c r="CX29" s="578"/>
      <c r="CY29" s="578"/>
      <c r="CZ29" s="578"/>
      <c r="DA29" s="578"/>
      <c r="DB29" s="578"/>
      <c r="DC29" s="578"/>
      <c r="DD29" s="578"/>
      <c r="DE29" s="578"/>
      <c r="DF29" s="578"/>
      <c r="DG29" s="578"/>
      <c r="DH29" s="578"/>
      <c r="DI29" s="578"/>
      <c r="DJ29" s="578"/>
      <c r="DK29" s="578"/>
      <c r="DL29" s="578"/>
      <c r="DM29" s="578"/>
      <c r="DN29" s="578"/>
      <c r="DO29" s="578"/>
    </row>
    <row r="30" spans="2:119" s="574" customFormat="1" ht="18.75" hidden="1" customHeight="1" x14ac:dyDescent="0.3">
      <c r="B30" s="575">
        <v>42776</v>
      </c>
      <c r="C30" s="575" t="str">
        <f>MONTH(Table_NFI[[#This Row],[Distribution Date]]) &amp; "/" &amp; YEAR(Table_NFI[[#This Row],[Distribution Date]])</f>
        <v>2/2017</v>
      </c>
      <c r="D30" s="213" t="s">
        <v>420</v>
      </c>
      <c r="E30" s="213" t="s">
        <v>424</v>
      </c>
      <c r="F30" s="213" t="s">
        <v>378</v>
      </c>
      <c r="G30" s="213" t="s">
        <v>237</v>
      </c>
      <c r="H30" s="213" t="s">
        <v>278</v>
      </c>
      <c r="I30" s="197"/>
      <c r="J30" s="576"/>
      <c r="K30" s="576"/>
      <c r="L30" s="576">
        <v>4</v>
      </c>
      <c r="M30" s="576">
        <v>4</v>
      </c>
      <c r="N30" s="576">
        <v>10</v>
      </c>
      <c r="O30" s="576">
        <v>4</v>
      </c>
      <c r="P30" s="576">
        <v>14</v>
      </c>
      <c r="Q30" s="576">
        <v>4</v>
      </c>
      <c r="R30" s="576"/>
      <c r="S30" s="576">
        <v>4</v>
      </c>
      <c r="T30" s="576">
        <v>14</v>
      </c>
      <c r="U30" s="576"/>
      <c r="V30" s="576"/>
      <c r="W30" s="576"/>
      <c r="X30" s="576"/>
      <c r="Y30" s="576">
        <v>4</v>
      </c>
      <c r="Z30" s="576"/>
      <c r="AA30" s="576"/>
      <c r="AB30" s="576"/>
      <c r="AC30" s="577"/>
      <c r="AD30" s="577"/>
      <c r="AE30" s="577"/>
      <c r="AF30" s="577"/>
      <c r="AG30" s="577"/>
      <c r="AH30" s="577"/>
      <c r="AI30" s="577"/>
      <c r="AJ30" s="577"/>
      <c r="AK30" s="577"/>
      <c r="AL30" s="577"/>
      <c r="AM30" s="577"/>
      <c r="AN30" s="577"/>
      <c r="AO30" s="577"/>
      <c r="AP30" s="577">
        <f>IF(Table_NFI[[#This Row],[Winter Clothes Adult]]+Table_NFI[[#This Row],[Winter Clothes Children]]+Table_NFI[[#This Row],[Winter Items Other]]+Table_NFI[[#This Row],[Winter Blanket]]&gt;0,1,0)</f>
        <v>0</v>
      </c>
      <c r="AQ30" s="577"/>
      <c r="AR30" s="577"/>
      <c r="AS30" s="577"/>
      <c r="AT30" s="220" t="str">
        <f>IFERROR(VLOOKUP(Table_NFI[[#This Row],[Location]],CL,2,0),"")</f>
        <v>MMR001CMP007</v>
      </c>
      <c r="AU30" s="197" t="s">
        <v>1240</v>
      </c>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78"/>
      <c r="DE30" s="578"/>
      <c r="DF30" s="578"/>
      <c r="DG30" s="578"/>
      <c r="DH30" s="578"/>
      <c r="DI30" s="578"/>
      <c r="DJ30" s="578"/>
      <c r="DK30" s="578"/>
      <c r="DL30" s="578"/>
      <c r="DM30" s="578"/>
      <c r="DN30" s="578"/>
      <c r="DO30" s="578"/>
    </row>
    <row r="31" spans="2:119" s="574" customFormat="1" ht="18.75" hidden="1" customHeight="1" x14ac:dyDescent="0.3">
      <c r="B31" s="575">
        <v>42776</v>
      </c>
      <c r="C31" s="575" t="str">
        <f>MONTH(Table_NFI[[#This Row],[Distribution Date]]) &amp; "/" &amp; YEAR(Table_NFI[[#This Row],[Distribution Date]])</f>
        <v>2/2017</v>
      </c>
      <c r="D31" s="213" t="s">
        <v>420</v>
      </c>
      <c r="E31" s="213" t="s">
        <v>424</v>
      </c>
      <c r="F31" s="213" t="s">
        <v>378</v>
      </c>
      <c r="G31" s="213" t="s">
        <v>237</v>
      </c>
      <c r="H31" s="213" t="s">
        <v>268</v>
      </c>
      <c r="I31" s="197"/>
      <c r="J31" s="576"/>
      <c r="K31" s="576"/>
      <c r="L31" s="576">
        <v>4</v>
      </c>
      <c r="M31" s="576">
        <v>4</v>
      </c>
      <c r="N31" s="576">
        <v>8</v>
      </c>
      <c r="O31" s="576">
        <v>4</v>
      </c>
      <c r="P31" s="576">
        <v>11</v>
      </c>
      <c r="Q31" s="576">
        <v>4</v>
      </c>
      <c r="R31" s="576"/>
      <c r="S31" s="576">
        <v>4</v>
      </c>
      <c r="T31" s="576">
        <v>11</v>
      </c>
      <c r="U31" s="576"/>
      <c r="V31" s="576"/>
      <c r="W31" s="576"/>
      <c r="X31" s="576"/>
      <c r="Y31" s="576">
        <v>4</v>
      </c>
      <c r="Z31" s="576"/>
      <c r="AA31" s="576"/>
      <c r="AB31" s="576"/>
      <c r="AC31" s="577"/>
      <c r="AD31" s="577"/>
      <c r="AE31" s="577"/>
      <c r="AF31" s="577"/>
      <c r="AG31" s="577"/>
      <c r="AH31" s="577"/>
      <c r="AI31" s="577"/>
      <c r="AJ31" s="577"/>
      <c r="AK31" s="577"/>
      <c r="AL31" s="577"/>
      <c r="AM31" s="577"/>
      <c r="AN31" s="577"/>
      <c r="AO31" s="577"/>
      <c r="AP31" s="577">
        <f>IF(Table_NFI[[#This Row],[Winter Clothes Adult]]+Table_NFI[[#This Row],[Winter Clothes Children]]+Table_NFI[[#This Row],[Winter Items Other]]+Table_NFI[[#This Row],[Winter Blanket]]&gt;0,1,0)</f>
        <v>0</v>
      </c>
      <c r="AQ31" s="577"/>
      <c r="AR31" s="577"/>
      <c r="AS31" s="577"/>
      <c r="AT31" s="220" t="str">
        <f>IFERROR(VLOOKUP(Table_NFI[[#This Row],[Location]],CL,2,0),"")</f>
        <v>MMR001CMP002</v>
      </c>
      <c r="AU31" s="197" t="s">
        <v>1240</v>
      </c>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78"/>
      <c r="DE31" s="578"/>
      <c r="DF31" s="578"/>
      <c r="DG31" s="578"/>
      <c r="DH31" s="578"/>
      <c r="DI31" s="578"/>
      <c r="DJ31" s="578"/>
      <c r="DK31" s="578"/>
      <c r="DL31" s="578"/>
      <c r="DM31" s="578"/>
      <c r="DN31" s="578"/>
      <c r="DO31" s="578"/>
    </row>
    <row r="32" spans="2:119" s="574" customFormat="1" ht="18.75" hidden="1" customHeight="1" x14ac:dyDescent="0.3">
      <c r="B32" s="575">
        <v>42776</v>
      </c>
      <c r="C32" s="575" t="str">
        <f>MONTH(Table_NFI[[#This Row],[Distribution Date]]) &amp; "/" &amp; YEAR(Table_NFI[[#This Row],[Distribution Date]])</f>
        <v>2/2017</v>
      </c>
      <c r="D32" s="213" t="s">
        <v>420</v>
      </c>
      <c r="E32" s="213" t="s">
        <v>424</v>
      </c>
      <c r="F32" s="213" t="s">
        <v>378</v>
      </c>
      <c r="G32" s="213" t="s">
        <v>237</v>
      </c>
      <c r="H32" s="213" t="s">
        <v>250</v>
      </c>
      <c r="I32" s="197"/>
      <c r="J32" s="576"/>
      <c r="K32" s="576"/>
      <c r="L32" s="576">
        <v>1</v>
      </c>
      <c r="M32" s="576">
        <v>1</v>
      </c>
      <c r="N32" s="576">
        <v>2</v>
      </c>
      <c r="O32" s="576">
        <v>1</v>
      </c>
      <c r="P32" s="576">
        <v>3</v>
      </c>
      <c r="Q32" s="576">
        <v>1</v>
      </c>
      <c r="R32" s="576"/>
      <c r="S32" s="576">
        <v>1</v>
      </c>
      <c r="T32" s="576">
        <v>3</v>
      </c>
      <c r="U32" s="576"/>
      <c r="V32" s="576"/>
      <c r="W32" s="576"/>
      <c r="X32" s="576"/>
      <c r="Y32" s="576">
        <v>1</v>
      </c>
      <c r="Z32" s="576"/>
      <c r="AA32" s="576"/>
      <c r="AB32" s="576"/>
      <c r="AC32" s="577"/>
      <c r="AD32" s="577"/>
      <c r="AE32" s="577"/>
      <c r="AF32" s="577"/>
      <c r="AG32" s="577"/>
      <c r="AH32" s="577"/>
      <c r="AI32" s="577"/>
      <c r="AJ32" s="577"/>
      <c r="AK32" s="577"/>
      <c r="AL32" s="577"/>
      <c r="AM32" s="577"/>
      <c r="AN32" s="577"/>
      <c r="AO32" s="577"/>
      <c r="AP32" s="577">
        <f>IF(Table_NFI[[#This Row],[Winter Clothes Adult]]+Table_NFI[[#This Row],[Winter Clothes Children]]+Table_NFI[[#This Row],[Winter Items Other]]+Table_NFI[[#This Row],[Winter Blanket]]&gt;0,1,0)</f>
        <v>0</v>
      </c>
      <c r="AQ32" s="577"/>
      <c r="AR32" s="577"/>
      <c r="AS32" s="577"/>
      <c r="AT32" s="220" t="str">
        <f>IFERROR(VLOOKUP(Table_NFI[[#This Row],[Location]],CL,2,0),"")</f>
        <v>MMR001CMP003</v>
      </c>
      <c r="AU32" s="197" t="s">
        <v>1240</v>
      </c>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78"/>
      <c r="BZ32" s="578"/>
      <c r="CA32" s="578"/>
      <c r="CB32" s="578"/>
      <c r="CC32" s="578"/>
      <c r="CD32" s="578"/>
      <c r="CE32" s="578"/>
      <c r="CF32" s="578"/>
      <c r="CG32" s="578"/>
      <c r="CH32" s="578"/>
      <c r="CI32" s="578"/>
      <c r="CJ32" s="578"/>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c r="DO32" s="578"/>
    </row>
    <row r="33" spans="2:119" s="574" customFormat="1" ht="18.75" hidden="1" customHeight="1" x14ac:dyDescent="0.3">
      <c r="B33" s="575">
        <v>42776</v>
      </c>
      <c r="C33" s="575" t="str">
        <f>MONTH(Table_NFI[[#This Row],[Distribution Date]]) &amp; "/" &amp; YEAR(Table_NFI[[#This Row],[Distribution Date]])</f>
        <v>2/2017</v>
      </c>
      <c r="D33" s="213" t="s">
        <v>420</v>
      </c>
      <c r="E33" s="213" t="s">
        <v>424</v>
      </c>
      <c r="F33" s="213" t="s">
        <v>378</v>
      </c>
      <c r="G33" s="213" t="s">
        <v>237</v>
      </c>
      <c r="H33" s="213" t="s">
        <v>274</v>
      </c>
      <c r="I33" s="197"/>
      <c r="J33" s="576"/>
      <c r="K33" s="576"/>
      <c r="L33" s="576">
        <v>1</v>
      </c>
      <c r="M33" s="576">
        <v>1</v>
      </c>
      <c r="N33" s="576">
        <v>3</v>
      </c>
      <c r="O33" s="576">
        <v>1</v>
      </c>
      <c r="P33" s="576">
        <v>4</v>
      </c>
      <c r="Q33" s="576">
        <v>1</v>
      </c>
      <c r="R33" s="576"/>
      <c r="S33" s="576">
        <v>1</v>
      </c>
      <c r="T33" s="576">
        <v>4</v>
      </c>
      <c r="U33" s="576"/>
      <c r="V33" s="576"/>
      <c r="W33" s="576"/>
      <c r="X33" s="576"/>
      <c r="Y33" s="576">
        <v>1</v>
      </c>
      <c r="Z33" s="576"/>
      <c r="AA33" s="576"/>
      <c r="AB33" s="576"/>
      <c r="AC33" s="577"/>
      <c r="AD33" s="577"/>
      <c r="AE33" s="577"/>
      <c r="AF33" s="577"/>
      <c r="AG33" s="577"/>
      <c r="AH33" s="577"/>
      <c r="AI33" s="577"/>
      <c r="AJ33" s="577"/>
      <c r="AK33" s="577"/>
      <c r="AL33" s="577"/>
      <c r="AM33" s="577"/>
      <c r="AN33" s="577"/>
      <c r="AO33" s="577"/>
      <c r="AP33" s="577">
        <f>IF(Table_NFI[[#This Row],[Winter Clothes Adult]]+Table_NFI[[#This Row],[Winter Clothes Children]]+Table_NFI[[#This Row],[Winter Items Other]]+Table_NFI[[#This Row],[Winter Blanket]]&gt;0,1,0)</f>
        <v>0</v>
      </c>
      <c r="AQ33" s="577"/>
      <c r="AR33" s="577"/>
      <c r="AS33" s="577"/>
      <c r="AT33" s="220" t="str">
        <f>IFERROR(VLOOKUP(Table_NFI[[#This Row],[Location]],CL,2,0),"")</f>
        <v>MMR001CMP005</v>
      </c>
      <c r="AU33" s="197" t="s">
        <v>1240</v>
      </c>
      <c r="AV33" s="578"/>
      <c r="AW33" s="578"/>
      <c r="AX33" s="578"/>
      <c r="AY33" s="578"/>
      <c r="AZ33" s="578"/>
      <c r="BA33" s="578"/>
      <c r="BB33" s="578"/>
      <c r="BC33" s="578"/>
      <c r="BD33" s="578"/>
      <c r="BE33" s="578"/>
      <c r="BF33" s="578"/>
      <c r="BG33" s="578"/>
      <c r="BH33" s="578"/>
      <c r="BI33" s="578"/>
      <c r="BJ33" s="578"/>
      <c r="BK33" s="578"/>
      <c r="BL33" s="578"/>
      <c r="BM33" s="578"/>
      <c r="BN33" s="578"/>
      <c r="BO33" s="578"/>
      <c r="BP33" s="578"/>
      <c r="BQ33" s="578"/>
      <c r="BR33" s="578"/>
      <c r="BS33" s="578"/>
      <c r="BT33" s="578"/>
      <c r="BU33" s="578"/>
      <c r="BV33" s="578"/>
      <c r="BW33" s="578"/>
      <c r="BX33" s="578"/>
      <c r="BY33" s="578"/>
      <c r="BZ33" s="578"/>
      <c r="CA33" s="578"/>
      <c r="CB33" s="578"/>
      <c r="CC33" s="578"/>
      <c r="CD33" s="578"/>
      <c r="CE33" s="578"/>
      <c r="CF33" s="578"/>
      <c r="CG33" s="578"/>
      <c r="CH33" s="578"/>
      <c r="CI33" s="578"/>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578"/>
    </row>
    <row r="34" spans="2:119" s="574" customFormat="1" ht="18.75" hidden="1" customHeight="1" x14ac:dyDescent="0.3">
      <c r="B34" s="575">
        <v>42776</v>
      </c>
      <c r="C34" s="575" t="str">
        <f>MONTH(Table_NFI[[#This Row],[Distribution Date]]) &amp; "/" &amp; YEAR(Table_NFI[[#This Row],[Distribution Date]])</f>
        <v>2/2017</v>
      </c>
      <c r="D34" s="213" t="s">
        <v>420</v>
      </c>
      <c r="E34" s="213" t="s">
        <v>462</v>
      </c>
      <c r="F34" s="213" t="s">
        <v>378</v>
      </c>
      <c r="G34" s="213" t="s">
        <v>5</v>
      </c>
      <c r="H34" s="213" t="s">
        <v>8</v>
      </c>
      <c r="I34" s="197"/>
      <c r="J34" s="576"/>
      <c r="K34" s="576"/>
      <c r="L34" s="576"/>
      <c r="M34" s="576"/>
      <c r="N34" s="576"/>
      <c r="O34" s="576">
        <v>8</v>
      </c>
      <c r="P34" s="576"/>
      <c r="Q34" s="576"/>
      <c r="R34" s="576"/>
      <c r="S34" s="576"/>
      <c r="T34" s="576"/>
      <c r="U34" s="576"/>
      <c r="V34" s="576"/>
      <c r="W34" s="576"/>
      <c r="X34" s="576"/>
      <c r="Y34" s="576"/>
      <c r="Z34" s="576"/>
      <c r="AA34" s="576"/>
      <c r="AB34" s="576"/>
      <c r="AC34" s="577"/>
      <c r="AD34" s="577"/>
      <c r="AE34" s="577"/>
      <c r="AF34" s="577"/>
      <c r="AG34" s="577"/>
      <c r="AH34" s="577"/>
      <c r="AI34" s="577"/>
      <c r="AJ34" s="577"/>
      <c r="AK34" s="577"/>
      <c r="AL34" s="577"/>
      <c r="AM34" s="577"/>
      <c r="AN34" s="577"/>
      <c r="AO34" s="577"/>
      <c r="AP34" s="577">
        <f>IF(Table_NFI[[#This Row],[Winter Clothes Adult]]+Table_NFI[[#This Row],[Winter Clothes Children]]+Table_NFI[[#This Row],[Winter Items Other]]+Table_NFI[[#This Row],[Winter Blanket]]&gt;0,1,0)</f>
        <v>0</v>
      </c>
      <c r="AQ34" s="577"/>
      <c r="AR34" s="577"/>
      <c r="AS34" s="577"/>
      <c r="AT34" s="220" t="str">
        <f>IFERROR(VLOOKUP(Table_NFI[[#This Row],[Location]],CL,2,0),"")</f>
        <v>MMR001CMP051</v>
      </c>
      <c r="AU34" s="197" t="s">
        <v>1240</v>
      </c>
      <c r="AV34" s="578"/>
      <c r="AW34" s="578"/>
      <c r="AX34" s="578"/>
      <c r="AY34" s="578"/>
      <c r="AZ34" s="578"/>
      <c r="BA34" s="578"/>
      <c r="BB34" s="578"/>
      <c r="BC34" s="578"/>
      <c r="BD34" s="578"/>
      <c r="BE34" s="578"/>
      <c r="BF34" s="578"/>
      <c r="BG34" s="578"/>
      <c r="BH34" s="578"/>
      <c r="BI34" s="578"/>
      <c r="BJ34" s="578"/>
      <c r="BK34" s="578"/>
      <c r="BL34" s="578"/>
      <c r="BM34" s="578"/>
      <c r="BN34" s="578"/>
      <c r="BO34" s="578"/>
      <c r="BP34" s="578"/>
      <c r="BQ34" s="578"/>
      <c r="BR34" s="578"/>
      <c r="BS34" s="578"/>
      <c r="BT34" s="578"/>
      <c r="BU34" s="578"/>
      <c r="BV34" s="578"/>
      <c r="BW34" s="578"/>
      <c r="BX34" s="578"/>
      <c r="BY34" s="578"/>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row>
    <row r="35" spans="2:119" s="574" customFormat="1" ht="18.75" hidden="1" customHeight="1" x14ac:dyDescent="0.3">
      <c r="B35" s="575">
        <v>42779</v>
      </c>
      <c r="C35" s="575" t="str">
        <f>MONTH(Table_NFI[[#This Row],[Distribution Date]]) &amp; "/" &amp; YEAR(Table_NFI[[#This Row],[Distribution Date]])</f>
        <v>2/2017</v>
      </c>
      <c r="D35" s="213" t="s">
        <v>420</v>
      </c>
      <c r="E35" s="213" t="s">
        <v>424</v>
      </c>
      <c r="F35" s="213" t="s">
        <v>378</v>
      </c>
      <c r="G35" s="213" t="s">
        <v>237</v>
      </c>
      <c r="H35" s="213" t="s">
        <v>240</v>
      </c>
      <c r="I35" s="197"/>
      <c r="J35" s="576"/>
      <c r="K35" s="576"/>
      <c r="L35" s="576">
        <v>3</v>
      </c>
      <c r="M35" s="576">
        <v>3</v>
      </c>
      <c r="N35" s="576">
        <v>5</v>
      </c>
      <c r="O35" s="576">
        <v>3</v>
      </c>
      <c r="P35" s="576">
        <v>8</v>
      </c>
      <c r="Q35" s="576">
        <v>3</v>
      </c>
      <c r="R35" s="576"/>
      <c r="S35" s="576">
        <v>3</v>
      </c>
      <c r="T35" s="576">
        <v>8</v>
      </c>
      <c r="U35" s="576"/>
      <c r="V35" s="576"/>
      <c r="W35" s="576"/>
      <c r="X35" s="576"/>
      <c r="Y35" s="576">
        <v>3</v>
      </c>
      <c r="Z35" s="576"/>
      <c r="AA35" s="576"/>
      <c r="AB35" s="576"/>
      <c r="AC35" s="577"/>
      <c r="AD35" s="577"/>
      <c r="AE35" s="577"/>
      <c r="AF35" s="577"/>
      <c r="AG35" s="577"/>
      <c r="AH35" s="577"/>
      <c r="AI35" s="577"/>
      <c r="AJ35" s="577"/>
      <c r="AK35" s="577"/>
      <c r="AL35" s="577"/>
      <c r="AM35" s="577"/>
      <c r="AN35" s="577"/>
      <c r="AO35" s="577"/>
      <c r="AP35" s="577">
        <f>IF(Table_NFI[[#This Row],[Winter Clothes Adult]]+Table_NFI[[#This Row],[Winter Clothes Children]]+Table_NFI[[#This Row],[Winter Items Other]]+Table_NFI[[#This Row],[Winter Blanket]]&gt;0,1,0)</f>
        <v>0</v>
      </c>
      <c r="AQ35" s="577"/>
      <c r="AR35" s="577"/>
      <c r="AS35" s="577"/>
      <c r="AT35" s="220" t="str">
        <f>IFERROR(VLOOKUP(Table_NFI[[#This Row],[Location]],CL,2,0),"")</f>
        <v>MMR001CMP015</v>
      </c>
      <c r="AU35" s="197" t="s">
        <v>1240</v>
      </c>
      <c r="AV35" s="578"/>
      <c r="AW35" s="578"/>
      <c r="AX35" s="578"/>
      <c r="AY35" s="578"/>
      <c r="AZ35" s="578"/>
      <c r="BA35" s="578"/>
      <c r="BB35" s="578"/>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row>
    <row r="36" spans="2:119" s="574" customFormat="1" ht="18.75" hidden="1" customHeight="1" x14ac:dyDescent="0.3">
      <c r="B36" s="575">
        <v>42779</v>
      </c>
      <c r="C36" s="575" t="str">
        <f>MONTH(Table_NFI[[#This Row],[Distribution Date]]) &amp; "/" &amp; YEAR(Table_NFI[[#This Row],[Distribution Date]])</f>
        <v>2/2017</v>
      </c>
      <c r="D36" s="213" t="s">
        <v>420</v>
      </c>
      <c r="E36" s="213" t="s">
        <v>424</v>
      </c>
      <c r="F36" s="213" t="s">
        <v>378</v>
      </c>
      <c r="G36" s="213" t="s">
        <v>237</v>
      </c>
      <c r="H36" s="213" t="s">
        <v>252</v>
      </c>
      <c r="I36" s="197"/>
      <c r="J36" s="576"/>
      <c r="K36" s="576"/>
      <c r="L36" s="576">
        <v>1</v>
      </c>
      <c r="M36" s="576">
        <v>1</v>
      </c>
      <c r="N36" s="576">
        <v>2</v>
      </c>
      <c r="O36" s="576">
        <v>1</v>
      </c>
      <c r="P36" s="576">
        <v>3</v>
      </c>
      <c r="Q36" s="576">
        <v>1</v>
      </c>
      <c r="R36" s="576"/>
      <c r="S36" s="576">
        <v>1</v>
      </c>
      <c r="T36" s="576">
        <v>3</v>
      </c>
      <c r="U36" s="576"/>
      <c r="V36" s="576"/>
      <c r="W36" s="576"/>
      <c r="X36" s="576"/>
      <c r="Y36" s="576">
        <v>1</v>
      </c>
      <c r="Z36" s="576"/>
      <c r="AA36" s="576"/>
      <c r="AB36" s="576"/>
      <c r="AC36" s="577"/>
      <c r="AD36" s="577"/>
      <c r="AE36" s="577"/>
      <c r="AF36" s="577"/>
      <c r="AG36" s="577"/>
      <c r="AH36" s="577"/>
      <c r="AI36" s="577"/>
      <c r="AJ36" s="577"/>
      <c r="AK36" s="577"/>
      <c r="AL36" s="577"/>
      <c r="AM36" s="577"/>
      <c r="AN36" s="577"/>
      <c r="AO36" s="577"/>
      <c r="AP36" s="577">
        <f>IF(Table_NFI[[#This Row],[Winter Clothes Adult]]+Table_NFI[[#This Row],[Winter Clothes Children]]+Table_NFI[[#This Row],[Winter Items Other]]+Table_NFI[[#This Row],[Winter Blanket]]&gt;0,1,0)</f>
        <v>0</v>
      </c>
      <c r="AQ36" s="577"/>
      <c r="AR36" s="577"/>
      <c r="AS36" s="577"/>
      <c r="AT36" s="220" t="str">
        <f>IFERROR(VLOOKUP(Table_NFI[[#This Row],[Location]],CL,2,0),"")</f>
        <v>MMR001CMP018</v>
      </c>
      <c r="AU36" s="197" t="s">
        <v>1240</v>
      </c>
      <c r="AV36" s="578"/>
      <c r="AW36" s="578"/>
      <c r="AX36" s="578"/>
      <c r="AY36" s="578"/>
      <c r="AZ36" s="578"/>
      <c r="BA36" s="578"/>
      <c r="BB36" s="578"/>
      <c r="BC36" s="578"/>
      <c r="BD36" s="578"/>
      <c r="BE36" s="578"/>
      <c r="BF36" s="578"/>
      <c r="BG36" s="578"/>
      <c r="BH36" s="578"/>
      <c r="BI36" s="578"/>
      <c r="BJ36" s="578"/>
      <c r="BK36" s="578"/>
      <c r="BL36" s="578"/>
      <c r="BM36" s="578"/>
      <c r="BN36" s="578"/>
      <c r="BO36" s="578"/>
      <c r="BP36" s="578"/>
      <c r="BQ36" s="578"/>
      <c r="BR36" s="578"/>
      <c r="BS36" s="578"/>
      <c r="BT36" s="578"/>
      <c r="BU36" s="578"/>
      <c r="BV36" s="578"/>
      <c r="BW36" s="578"/>
      <c r="BX36" s="578"/>
      <c r="BY36" s="578"/>
      <c r="BZ36" s="578"/>
      <c r="CA36" s="578"/>
      <c r="CB36" s="578"/>
      <c r="CC36" s="578"/>
      <c r="CD36" s="578"/>
      <c r="CE36" s="578"/>
      <c r="CF36" s="578"/>
      <c r="CG36" s="578"/>
      <c r="CH36" s="578"/>
      <c r="CI36" s="578"/>
      <c r="CJ36" s="578"/>
      <c r="CK36" s="578"/>
      <c r="CL36" s="578"/>
      <c r="CM36" s="578"/>
      <c r="CN36" s="578"/>
      <c r="CO36" s="578"/>
      <c r="CP36" s="578"/>
      <c r="CQ36" s="578"/>
      <c r="CR36" s="578"/>
      <c r="CS36" s="578"/>
      <c r="CT36" s="578"/>
      <c r="CU36" s="578"/>
      <c r="CV36" s="578"/>
      <c r="CW36" s="578"/>
      <c r="CX36" s="578"/>
      <c r="CY36" s="578"/>
      <c r="CZ36" s="578"/>
      <c r="DA36" s="578"/>
      <c r="DB36" s="578"/>
      <c r="DC36" s="578"/>
      <c r="DD36" s="578"/>
      <c r="DE36" s="578"/>
      <c r="DF36" s="578"/>
      <c r="DG36" s="578"/>
      <c r="DH36" s="578"/>
      <c r="DI36" s="578"/>
      <c r="DJ36" s="578"/>
      <c r="DK36" s="578"/>
      <c r="DL36" s="578"/>
      <c r="DM36" s="578"/>
      <c r="DN36" s="578"/>
      <c r="DO36" s="578"/>
    </row>
    <row r="37" spans="2:119" s="574" customFormat="1" ht="18.75" hidden="1" customHeight="1" x14ac:dyDescent="0.3">
      <c r="B37" s="575">
        <v>42779</v>
      </c>
      <c r="C37" s="575" t="str">
        <f>MONTH(Table_NFI[[#This Row],[Distribution Date]]) &amp; "/" &amp; YEAR(Table_NFI[[#This Row],[Distribution Date]])</f>
        <v>2/2017</v>
      </c>
      <c r="D37" s="213" t="s">
        <v>420</v>
      </c>
      <c r="E37" s="213" t="s">
        <v>424</v>
      </c>
      <c r="F37" s="213" t="s">
        <v>378</v>
      </c>
      <c r="G37" s="213" t="s">
        <v>237</v>
      </c>
      <c r="H37" s="213" t="s">
        <v>256</v>
      </c>
      <c r="I37" s="197"/>
      <c r="J37" s="576"/>
      <c r="K37" s="576"/>
      <c r="L37" s="576">
        <v>3</v>
      </c>
      <c r="M37" s="576">
        <v>3</v>
      </c>
      <c r="N37" s="576">
        <v>9</v>
      </c>
      <c r="O37" s="576">
        <v>3</v>
      </c>
      <c r="P37" s="576">
        <v>17</v>
      </c>
      <c r="Q37" s="576">
        <v>3</v>
      </c>
      <c r="R37" s="576"/>
      <c r="S37" s="576">
        <v>3</v>
      </c>
      <c r="T37" s="576">
        <v>17</v>
      </c>
      <c r="U37" s="576"/>
      <c r="V37" s="576"/>
      <c r="W37" s="576"/>
      <c r="X37" s="576"/>
      <c r="Y37" s="576">
        <v>3</v>
      </c>
      <c r="Z37" s="576"/>
      <c r="AA37" s="576"/>
      <c r="AB37" s="576"/>
      <c r="AC37" s="577"/>
      <c r="AD37" s="577"/>
      <c r="AE37" s="577"/>
      <c r="AF37" s="577"/>
      <c r="AG37" s="577"/>
      <c r="AH37" s="577"/>
      <c r="AI37" s="577"/>
      <c r="AJ37" s="577"/>
      <c r="AK37" s="577"/>
      <c r="AL37" s="577"/>
      <c r="AM37" s="577"/>
      <c r="AN37" s="577"/>
      <c r="AO37" s="577"/>
      <c r="AP37" s="577">
        <f>IF(Table_NFI[[#This Row],[Winter Clothes Adult]]+Table_NFI[[#This Row],[Winter Clothes Children]]+Table_NFI[[#This Row],[Winter Items Other]]+Table_NFI[[#This Row],[Winter Blanket]]&gt;0,1,0)</f>
        <v>0</v>
      </c>
      <c r="AQ37" s="577"/>
      <c r="AR37" s="577"/>
      <c r="AS37" s="577"/>
      <c r="AT37" s="220" t="str">
        <f>IFERROR(VLOOKUP(Table_NFI[[#This Row],[Location]],CL,2,0),"")</f>
        <v>MMR001CMP013</v>
      </c>
      <c r="AU37" s="197" t="s">
        <v>1240</v>
      </c>
      <c r="AV37" s="578"/>
      <c r="AW37" s="578"/>
      <c r="AX37" s="578"/>
      <c r="AY37" s="578"/>
      <c r="AZ37" s="578"/>
      <c r="BA37" s="578"/>
      <c r="BB37" s="578"/>
      <c r="BC37" s="578"/>
      <c r="BD37" s="578"/>
      <c r="BE37" s="578"/>
      <c r="BF37" s="578"/>
      <c r="BG37" s="578"/>
      <c r="BH37" s="578"/>
      <c r="BI37" s="578"/>
      <c r="BJ37" s="578"/>
      <c r="BK37" s="578"/>
      <c r="BL37" s="578"/>
      <c r="BM37" s="578"/>
      <c r="BN37" s="578"/>
      <c r="BO37" s="578"/>
      <c r="BP37" s="578"/>
      <c r="BQ37" s="578"/>
      <c r="BR37" s="578"/>
      <c r="BS37" s="578"/>
      <c r="BT37" s="578"/>
      <c r="BU37" s="578"/>
      <c r="BV37" s="578"/>
      <c r="BW37" s="578"/>
      <c r="BX37" s="578"/>
      <c r="BY37" s="578"/>
      <c r="BZ37" s="578"/>
      <c r="CA37" s="578"/>
      <c r="CB37" s="578"/>
      <c r="CC37" s="578"/>
      <c r="CD37" s="578"/>
      <c r="CE37" s="578"/>
      <c r="CF37" s="578"/>
      <c r="CG37" s="578"/>
      <c r="CH37" s="578"/>
      <c r="CI37" s="578"/>
      <c r="CJ37" s="578"/>
      <c r="CK37" s="578"/>
      <c r="CL37" s="578"/>
      <c r="CM37" s="578"/>
      <c r="CN37" s="578"/>
      <c r="CO37" s="578"/>
      <c r="CP37" s="578"/>
      <c r="CQ37" s="578"/>
      <c r="CR37" s="578"/>
      <c r="CS37" s="578"/>
      <c r="CT37" s="578"/>
      <c r="CU37" s="578"/>
      <c r="CV37" s="578"/>
      <c r="CW37" s="578"/>
      <c r="CX37" s="578"/>
      <c r="CY37" s="578"/>
      <c r="CZ37" s="578"/>
      <c r="DA37" s="578"/>
      <c r="DB37" s="578"/>
      <c r="DC37" s="578"/>
      <c r="DD37" s="578"/>
      <c r="DE37" s="578"/>
      <c r="DF37" s="578"/>
      <c r="DG37" s="578"/>
      <c r="DH37" s="578"/>
      <c r="DI37" s="578"/>
      <c r="DJ37" s="578"/>
      <c r="DK37" s="578"/>
      <c r="DL37" s="578"/>
      <c r="DM37" s="578"/>
      <c r="DN37" s="578"/>
      <c r="DO37" s="578"/>
    </row>
    <row r="38" spans="2:119" s="574" customFormat="1" ht="18.75" hidden="1" customHeight="1" x14ac:dyDescent="0.3">
      <c r="B38" s="575">
        <v>42779</v>
      </c>
      <c r="C38" s="575" t="str">
        <f>MONTH(Table_NFI[[#This Row],[Distribution Date]]) &amp; "/" &amp; YEAR(Table_NFI[[#This Row],[Distribution Date]])</f>
        <v>2/2017</v>
      </c>
      <c r="D38" s="213" t="s">
        <v>420</v>
      </c>
      <c r="E38" s="213" t="s">
        <v>424</v>
      </c>
      <c r="F38" s="213" t="s">
        <v>378</v>
      </c>
      <c r="G38" s="213" t="s">
        <v>237</v>
      </c>
      <c r="H38" s="213" t="s">
        <v>260</v>
      </c>
      <c r="I38" s="197"/>
      <c r="J38" s="576"/>
      <c r="K38" s="576"/>
      <c r="L38" s="576">
        <v>1</v>
      </c>
      <c r="M38" s="576">
        <v>1</v>
      </c>
      <c r="N38" s="576">
        <v>2</v>
      </c>
      <c r="O38" s="576">
        <v>1</v>
      </c>
      <c r="P38" s="576">
        <v>3</v>
      </c>
      <c r="Q38" s="576">
        <v>1</v>
      </c>
      <c r="R38" s="576"/>
      <c r="S38" s="576">
        <v>1</v>
      </c>
      <c r="T38" s="576">
        <v>3</v>
      </c>
      <c r="U38" s="576"/>
      <c r="V38" s="576"/>
      <c r="W38" s="576"/>
      <c r="X38" s="576"/>
      <c r="Y38" s="576">
        <v>1</v>
      </c>
      <c r="Z38" s="576"/>
      <c r="AA38" s="576"/>
      <c r="AB38" s="576"/>
      <c r="AC38" s="577"/>
      <c r="AD38" s="577"/>
      <c r="AE38" s="577"/>
      <c r="AF38" s="577"/>
      <c r="AG38" s="577"/>
      <c r="AH38" s="577"/>
      <c r="AI38" s="577"/>
      <c r="AJ38" s="577"/>
      <c r="AK38" s="577"/>
      <c r="AL38" s="577"/>
      <c r="AM38" s="577"/>
      <c r="AN38" s="577"/>
      <c r="AO38" s="577"/>
      <c r="AP38" s="577">
        <f>IF(Table_NFI[[#This Row],[Winter Clothes Adult]]+Table_NFI[[#This Row],[Winter Clothes Children]]+Table_NFI[[#This Row],[Winter Items Other]]+Table_NFI[[#This Row],[Winter Blanket]]&gt;0,1,0)</f>
        <v>0</v>
      </c>
      <c r="AQ38" s="577"/>
      <c r="AR38" s="577"/>
      <c r="AS38" s="577"/>
      <c r="AT38" s="220" t="str">
        <f>IFERROR(VLOOKUP(Table_NFI[[#This Row],[Location]],CL,2,0),"")</f>
        <v>MMR001CMP008</v>
      </c>
      <c r="AU38" s="197" t="s">
        <v>1240</v>
      </c>
      <c r="AV38" s="578"/>
      <c r="AW38" s="578"/>
      <c r="AX38" s="578"/>
      <c r="AY38" s="578"/>
      <c r="AZ38" s="578"/>
      <c r="BA38" s="578"/>
      <c r="BB38" s="578"/>
      <c r="BC38" s="578"/>
      <c r="BD38" s="578"/>
      <c r="BE38" s="578"/>
      <c r="BF38" s="578"/>
      <c r="BG38" s="578"/>
      <c r="BH38" s="578"/>
      <c r="BI38" s="578"/>
      <c r="BJ38" s="578"/>
      <c r="BK38" s="578"/>
      <c r="BL38" s="578"/>
      <c r="BM38" s="578"/>
      <c r="BN38" s="578"/>
      <c r="BO38" s="578"/>
      <c r="BP38" s="578"/>
      <c r="BQ38" s="578"/>
      <c r="BR38" s="578"/>
      <c r="BS38" s="578"/>
      <c r="BT38" s="578"/>
      <c r="BU38" s="578"/>
      <c r="BV38" s="578"/>
      <c r="BW38" s="578"/>
      <c r="BX38" s="578"/>
      <c r="BY38" s="578"/>
      <c r="BZ38" s="578"/>
      <c r="CA38" s="578"/>
      <c r="CB38" s="578"/>
      <c r="CC38" s="578"/>
      <c r="CD38" s="578"/>
      <c r="CE38" s="578"/>
      <c r="CF38" s="578"/>
      <c r="CG38" s="578"/>
      <c r="CH38" s="578"/>
      <c r="CI38" s="578"/>
      <c r="CJ38" s="578"/>
      <c r="CK38" s="578"/>
      <c r="CL38" s="578"/>
      <c r="CM38" s="578"/>
      <c r="CN38" s="578"/>
      <c r="CO38" s="578"/>
      <c r="CP38" s="578"/>
      <c r="CQ38" s="578"/>
      <c r="CR38" s="578"/>
      <c r="CS38" s="578"/>
      <c r="CT38" s="578"/>
      <c r="CU38" s="578"/>
      <c r="CV38" s="578"/>
      <c r="CW38" s="578"/>
      <c r="CX38" s="578"/>
      <c r="CY38" s="578"/>
      <c r="CZ38" s="578"/>
      <c r="DA38" s="578"/>
      <c r="DB38" s="578"/>
      <c r="DC38" s="578"/>
      <c r="DD38" s="578"/>
      <c r="DE38" s="578"/>
      <c r="DF38" s="578"/>
      <c r="DG38" s="578"/>
      <c r="DH38" s="578"/>
      <c r="DI38" s="578"/>
      <c r="DJ38" s="578"/>
      <c r="DK38" s="578"/>
      <c r="DL38" s="578"/>
      <c r="DM38" s="578"/>
      <c r="DN38" s="578"/>
      <c r="DO38" s="578"/>
    </row>
    <row r="39" spans="2:119" s="574" customFormat="1" ht="18.75" hidden="1" customHeight="1" x14ac:dyDescent="0.3">
      <c r="B39" s="575">
        <v>42779</v>
      </c>
      <c r="C39" s="575" t="str">
        <f>MONTH(Table_NFI[[#This Row],[Distribution Date]]) &amp; "/" &amp; YEAR(Table_NFI[[#This Row],[Distribution Date]])</f>
        <v>2/2017</v>
      </c>
      <c r="D39" s="213" t="s">
        <v>420</v>
      </c>
      <c r="E39" s="213" t="s">
        <v>424</v>
      </c>
      <c r="F39" s="213" t="s">
        <v>378</v>
      </c>
      <c r="G39" s="213" t="s">
        <v>237</v>
      </c>
      <c r="H39" s="213" t="s">
        <v>258</v>
      </c>
      <c r="I39" s="197"/>
      <c r="J39" s="576"/>
      <c r="K39" s="576"/>
      <c r="L39" s="576">
        <v>1</v>
      </c>
      <c r="M39" s="576">
        <v>1</v>
      </c>
      <c r="N39" s="576">
        <v>2</v>
      </c>
      <c r="O39" s="576">
        <v>1</v>
      </c>
      <c r="P39" s="576">
        <v>3</v>
      </c>
      <c r="Q39" s="576">
        <v>1</v>
      </c>
      <c r="R39" s="576"/>
      <c r="S39" s="576">
        <v>1</v>
      </c>
      <c r="T39" s="576">
        <v>3</v>
      </c>
      <c r="U39" s="576"/>
      <c r="V39" s="576"/>
      <c r="W39" s="576"/>
      <c r="X39" s="576"/>
      <c r="Y39" s="576">
        <v>1</v>
      </c>
      <c r="Z39" s="576"/>
      <c r="AA39" s="576"/>
      <c r="AB39" s="576"/>
      <c r="AC39" s="577"/>
      <c r="AD39" s="577"/>
      <c r="AE39" s="577"/>
      <c r="AF39" s="577"/>
      <c r="AG39" s="577"/>
      <c r="AH39" s="577"/>
      <c r="AI39" s="577"/>
      <c r="AJ39" s="577"/>
      <c r="AK39" s="577"/>
      <c r="AL39" s="577"/>
      <c r="AM39" s="577"/>
      <c r="AN39" s="577"/>
      <c r="AO39" s="577"/>
      <c r="AP39" s="577">
        <f>IF(Table_NFI[[#This Row],[Winter Clothes Adult]]+Table_NFI[[#This Row],[Winter Clothes Children]]+Table_NFI[[#This Row],[Winter Items Other]]+Table_NFI[[#This Row],[Winter Blanket]]&gt;0,1,0)</f>
        <v>0</v>
      </c>
      <c r="AQ39" s="577"/>
      <c r="AR39" s="577"/>
      <c r="AS39" s="577"/>
      <c r="AT39" s="220" t="str">
        <f>IFERROR(VLOOKUP(Table_NFI[[#This Row],[Location]],CL,2,0),"")</f>
        <v>MMR001CMP016</v>
      </c>
      <c r="AU39" s="197" t="s">
        <v>1240</v>
      </c>
      <c r="AV39" s="578"/>
      <c r="AW39" s="578"/>
      <c r="AX39" s="578"/>
      <c r="AY39" s="578"/>
      <c r="AZ39" s="578"/>
      <c r="BA39" s="578"/>
      <c r="BB39" s="578"/>
      <c r="BC39" s="578"/>
      <c r="BD39" s="578"/>
      <c r="BE39" s="578"/>
      <c r="BF39" s="578"/>
      <c r="BG39" s="578"/>
      <c r="BH39" s="578"/>
      <c r="BI39" s="578"/>
      <c r="BJ39" s="578"/>
      <c r="BK39" s="578"/>
      <c r="BL39" s="578"/>
      <c r="BM39" s="578"/>
      <c r="BN39" s="578"/>
      <c r="BO39" s="578"/>
      <c r="BP39" s="578"/>
      <c r="BQ39" s="578"/>
      <c r="BR39" s="578"/>
      <c r="BS39" s="578"/>
      <c r="BT39" s="578"/>
      <c r="BU39" s="578"/>
      <c r="BV39" s="578"/>
      <c r="BW39" s="578"/>
      <c r="BX39" s="578"/>
      <c r="BY39" s="578"/>
      <c r="BZ39" s="578"/>
      <c r="CA39" s="578"/>
      <c r="CB39" s="578"/>
      <c r="CC39" s="578"/>
      <c r="CD39" s="578"/>
      <c r="CE39" s="578"/>
      <c r="CF39" s="578"/>
      <c r="CG39" s="578"/>
      <c r="CH39" s="578"/>
      <c r="CI39" s="578"/>
      <c r="CJ39" s="578"/>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c r="DO39" s="578"/>
    </row>
    <row r="40" spans="2:119" s="574" customFormat="1" ht="18.75" hidden="1" customHeight="1" x14ac:dyDescent="0.3">
      <c r="B40" s="575">
        <v>42780</v>
      </c>
      <c r="C40" s="575" t="str">
        <f>MONTH(Table_NFI[[#This Row],[Distribution Date]]) &amp; "/" &amp; YEAR(Table_NFI[[#This Row],[Distribution Date]])</f>
        <v>2/2017</v>
      </c>
      <c r="D40" s="213" t="s">
        <v>420</v>
      </c>
      <c r="E40" s="213" t="s">
        <v>424</v>
      </c>
      <c r="F40" s="213" t="s">
        <v>378</v>
      </c>
      <c r="G40" s="213" t="s">
        <v>151</v>
      </c>
      <c r="H40" s="213" t="s">
        <v>811</v>
      </c>
      <c r="I40" s="197"/>
      <c r="J40" s="576"/>
      <c r="K40" s="576"/>
      <c r="L40" s="576">
        <v>4</v>
      </c>
      <c r="M40" s="576">
        <v>4</v>
      </c>
      <c r="N40" s="576">
        <v>7</v>
      </c>
      <c r="O40" s="576">
        <v>4</v>
      </c>
      <c r="P40" s="576">
        <v>7</v>
      </c>
      <c r="Q40" s="576">
        <v>4</v>
      </c>
      <c r="R40" s="576"/>
      <c r="S40" s="576">
        <v>4</v>
      </c>
      <c r="T40" s="576">
        <v>14</v>
      </c>
      <c r="U40" s="576"/>
      <c r="V40" s="576"/>
      <c r="W40" s="576"/>
      <c r="X40" s="576"/>
      <c r="Y40" s="576">
        <v>4</v>
      </c>
      <c r="Z40" s="576"/>
      <c r="AA40" s="576"/>
      <c r="AB40" s="576"/>
      <c r="AC40" s="577"/>
      <c r="AD40" s="577"/>
      <c r="AE40" s="577"/>
      <c r="AF40" s="577"/>
      <c r="AG40" s="577"/>
      <c r="AH40" s="577"/>
      <c r="AI40" s="577"/>
      <c r="AJ40" s="577"/>
      <c r="AK40" s="577"/>
      <c r="AL40" s="577"/>
      <c r="AM40" s="577"/>
      <c r="AN40" s="577"/>
      <c r="AO40" s="577"/>
      <c r="AP40" s="577">
        <f>IF(Table_NFI[[#This Row],[Winter Clothes Adult]]+Table_NFI[[#This Row],[Winter Clothes Children]]+Table_NFI[[#This Row],[Winter Items Other]]+Table_NFI[[#This Row],[Winter Blanket]]&gt;0,1,0)</f>
        <v>0</v>
      </c>
      <c r="AQ40" s="577"/>
      <c r="AR40" s="577"/>
      <c r="AS40" s="577"/>
      <c r="AT40" s="220" t="str">
        <f>IFERROR(VLOOKUP(Table_NFI[[#This Row],[Location]],CL,2,0),"")</f>
        <v>MMR001CMP218</v>
      </c>
      <c r="AU40" s="197" t="s">
        <v>1240</v>
      </c>
      <c r="AV40" s="578"/>
      <c r="AW40" s="578"/>
      <c r="AX40" s="578"/>
      <c r="AY40" s="578"/>
      <c r="AZ40" s="578"/>
      <c r="BA40" s="578"/>
      <c r="BB40" s="578"/>
      <c r="BC40" s="578"/>
      <c r="BD40" s="578"/>
      <c r="BE40" s="578"/>
      <c r="BF40" s="578"/>
      <c r="BG40" s="578"/>
      <c r="BH40" s="578"/>
      <c r="BI40" s="578"/>
      <c r="BJ40" s="578"/>
      <c r="BK40" s="578"/>
      <c r="BL40" s="578"/>
      <c r="BM40" s="578"/>
      <c r="BN40" s="578"/>
      <c r="BO40" s="578"/>
      <c r="BP40" s="578"/>
      <c r="BQ40" s="578"/>
      <c r="BR40" s="578"/>
      <c r="BS40" s="578"/>
      <c r="BT40" s="578"/>
      <c r="BU40" s="578"/>
      <c r="BV40" s="578"/>
      <c r="BW40" s="578"/>
      <c r="BX40" s="578"/>
      <c r="BY40" s="578"/>
      <c r="BZ40" s="578"/>
      <c r="CA40" s="578"/>
      <c r="CB40" s="578"/>
      <c r="CC40" s="578"/>
      <c r="CD40" s="578"/>
      <c r="CE40" s="578"/>
      <c r="CF40" s="578"/>
      <c r="CG40" s="578"/>
      <c r="CH40" s="578"/>
      <c r="CI40" s="578"/>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578"/>
      <c r="DI40" s="578"/>
      <c r="DJ40" s="578"/>
      <c r="DK40" s="578"/>
      <c r="DL40" s="578"/>
      <c r="DM40" s="578"/>
      <c r="DN40" s="578"/>
      <c r="DO40" s="578"/>
    </row>
    <row r="41" spans="2:119" s="574" customFormat="1" ht="18.75" hidden="1" customHeight="1" x14ac:dyDescent="0.3">
      <c r="B41" s="575">
        <v>42780</v>
      </c>
      <c r="C41" s="575" t="str">
        <f>MONTH(Table_NFI[[#This Row],[Distribution Date]]) &amp; "/" &amp; YEAR(Table_NFI[[#This Row],[Distribution Date]])</f>
        <v>2/2017</v>
      </c>
      <c r="D41" s="212" t="s">
        <v>1390</v>
      </c>
      <c r="E41" s="212" t="s">
        <v>1390</v>
      </c>
      <c r="F41" s="579" t="s">
        <v>378</v>
      </c>
      <c r="G41" s="213" t="s">
        <v>151</v>
      </c>
      <c r="H41" s="213" t="s">
        <v>811</v>
      </c>
      <c r="I41" s="197"/>
      <c r="J41" s="576">
        <v>2</v>
      </c>
      <c r="K41" s="576"/>
      <c r="L41" s="576"/>
      <c r="M41" s="576">
        <v>18</v>
      </c>
      <c r="N41" s="576"/>
      <c r="O41" s="576"/>
      <c r="P41" s="576"/>
      <c r="Q41" s="576"/>
      <c r="R41" s="576"/>
      <c r="S41" s="576">
        <v>2</v>
      </c>
      <c r="T41" s="576"/>
      <c r="U41" s="576"/>
      <c r="V41" s="576"/>
      <c r="W41" s="576"/>
      <c r="X41" s="576"/>
      <c r="Y41" s="576">
        <v>2</v>
      </c>
      <c r="Z41" s="576"/>
      <c r="AA41" s="576"/>
      <c r="AB41" s="576"/>
      <c r="AC41" s="577"/>
      <c r="AD41" s="577"/>
      <c r="AE41" s="577"/>
      <c r="AF41" s="577"/>
      <c r="AG41" s="577"/>
      <c r="AH41" s="577"/>
      <c r="AI41" s="577"/>
      <c r="AJ41" s="577"/>
      <c r="AK41" s="577"/>
      <c r="AL41" s="577"/>
      <c r="AM41" s="577"/>
      <c r="AN41" s="577"/>
      <c r="AO41" s="577"/>
      <c r="AP41" s="577">
        <f>IF(Table_NFI[[#This Row],[Winter Clothes Adult]]+Table_NFI[[#This Row],[Winter Clothes Children]]+Table_NFI[[#This Row],[Winter Items Other]]+Table_NFI[[#This Row],[Winter Blanket]]&gt;0,1,0)</f>
        <v>0</v>
      </c>
      <c r="AQ41" s="577"/>
      <c r="AR41" s="577"/>
      <c r="AS41" s="577"/>
      <c r="AT41" s="220" t="str">
        <f>IFERROR(VLOOKUP(Table_NFI[[#This Row],[Location]],CL,2,0),"")</f>
        <v>MMR001CMP218</v>
      </c>
      <c r="AU41" s="197" t="s">
        <v>1262</v>
      </c>
      <c r="AV41" s="578"/>
      <c r="AW41" s="578"/>
      <c r="AX41" s="578"/>
      <c r="AY41" s="578"/>
      <c r="AZ41" s="578"/>
      <c r="BA41" s="578"/>
      <c r="BB41" s="578"/>
      <c r="BC41" s="578"/>
      <c r="BD41" s="578"/>
      <c r="BE41" s="578"/>
      <c r="BF41" s="578"/>
      <c r="BG41" s="578"/>
      <c r="BH41" s="578"/>
      <c r="BI41" s="578"/>
      <c r="BJ41" s="578"/>
      <c r="BK41" s="578"/>
      <c r="BL41" s="578"/>
      <c r="BM41" s="578"/>
      <c r="BN41" s="578"/>
      <c r="BO41" s="578"/>
      <c r="BP41" s="578"/>
      <c r="BQ41" s="578"/>
      <c r="BR41" s="578"/>
      <c r="BS41" s="578"/>
      <c r="BT41" s="578"/>
      <c r="BU41" s="578"/>
      <c r="BV41" s="578"/>
      <c r="BW41" s="578"/>
      <c r="BX41" s="578"/>
      <c r="BY41" s="578"/>
      <c r="BZ41" s="578"/>
      <c r="CA41" s="578"/>
      <c r="CB41" s="578"/>
      <c r="CC41" s="578"/>
      <c r="CD41" s="578"/>
      <c r="CE41" s="578"/>
      <c r="CF41" s="578"/>
      <c r="CG41" s="578"/>
      <c r="CH41" s="578"/>
      <c r="CI41" s="578"/>
      <c r="CJ41" s="578"/>
      <c r="CK41" s="578"/>
      <c r="CL41" s="578"/>
      <c r="CM41" s="578"/>
      <c r="CN41" s="578"/>
      <c r="CO41" s="578"/>
      <c r="CP41" s="578"/>
      <c r="CQ41" s="578"/>
      <c r="CR41" s="578"/>
      <c r="CS41" s="578"/>
      <c r="CT41" s="578"/>
      <c r="CU41" s="578"/>
      <c r="CV41" s="578"/>
      <c r="CW41" s="578"/>
      <c r="CX41" s="578"/>
      <c r="CY41" s="578"/>
      <c r="CZ41" s="578"/>
      <c r="DA41" s="578"/>
      <c r="DB41" s="578"/>
      <c r="DC41" s="578"/>
      <c r="DD41" s="578"/>
      <c r="DE41" s="578"/>
      <c r="DF41" s="578"/>
      <c r="DG41" s="578"/>
      <c r="DH41" s="578"/>
      <c r="DI41" s="578"/>
      <c r="DJ41" s="578"/>
      <c r="DK41" s="578"/>
      <c r="DL41" s="578"/>
      <c r="DM41" s="578"/>
      <c r="DN41" s="578"/>
      <c r="DO41" s="578"/>
    </row>
    <row r="42" spans="2:119" s="574" customFormat="1" ht="18.75" hidden="1" customHeight="1" x14ac:dyDescent="0.3">
      <c r="B42" s="575">
        <v>42780</v>
      </c>
      <c r="C42" s="575" t="str">
        <f>MONTH(Table_NFI[[#This Row],[Distribution Date]]) &amp; "/" &amp; YEAR(Table_NFI[[#This Row],[Distribution Date]])</f>
        <v>2/2017</v>
      </c>
      <c r="D42" s="213" t="s">
        <v>420</v>
      </c>
      <c r="E42" s="579" t="s">
        <v>1619</v>
      </c>
      <c r="F42" s="213" t="s">
        <v>378</v>
      </c>
      <c r="G42" s="213" t="s">
        <v>151</v>
      </c>
      <c r="H42" s="213" t="s">
        <v>847</v>
      </c>
      <c r="I42" s="197"/>
      <c r="J42" s="576"/>
      <c r="K42" s="576"/>
      <c r="L42" s="576">
        <v>1</v>
      </c>
      <c r="M42" s="576">
        <v>1</v>
      </c>
      <c r="N42" s="576">
        <v>2</v>
      </c>
      <c r="O42" s="576">
        <v>1</v>
      </c>
      <c r="P42" s="576">
        <v>2</v>
      </c>
      <c r="Q42" s="576">
        <v>1</v>
      </c>
      <c r="R42" s="576"/>
      <c r="S42" s="576">
        <v>1</v>
      </c>
      <c r="T42" s="576">
        <v>3</v>
      </c>
      <c r="U42" s="576"/>
      <c r="V42" s="576"/>
      <c r="W42" s="576"/>
      <c r="X42" s="576"/>
      <c r="Y42" s="576">
        <v>1</v>
      </c>
      <c r="Z42" s="576"/>
      <c r="AA42" s="576"/>
      <c r="AB42" s="576"/>
      <c r="AC42" s="577"/>
      <c r="AD42" s="577"/>
      <c r="AE42" s="577"/>
      <c r="AF42" s="577"/>
      <c r="AG42" s="577"/>
      <c r="AH42" s="577"/>
      <c r="AI42" s="577"/>
      <c r="AJ42" s="577"/>
      <c r="AK42" s="577"/>
      <c r="AL42" s="577"/>
      <c r="AM42" s="577"/>
      <c r="AN42" s="577"/>
      <c r="AO42" s="577"/>
      <c r="AP42" s="577">
        <f>IF(Table_NFI[[#This Row],[Winter Clothes Adult]]+Table_NFI[[#This Row],[Winter Clothes Children]]+Table_NFI[[#This Row],[Winter Items Other]]+Table_NFI[[#This Row],[Winter Blanket]]&gt;0,1,0)</f>
        <v>0</v>
      </c>
      <c r="AQ42" s="577"/>
      <c r="AR42" s="577"/>
      <c r="AS42" s="577"/>
      <c r="AT42" s="220" t="str">
        <f>IFERROR(VLOOKUP(Table_NFI[[#This Row],[Location]],CL,2,0),"")</f>
        <v>MMR001CMP223</v>
      </c>
      <c r="AU42" s="197" t="s">
        <v>1240</v>
      </c>
      <c r="AV42" s="578"/>
      <c r="AW42" s="578"/>
      <c r="AX42" s="578"/>
      <c r="AY42" s="578"/>
      <c r="AZ42" s="578"/>
      <c r="BA42" s="578"/>
      <c r="BB42" s="578"/>
      <c r="BC42" s="578"/>
      <c r="BD42" s="578"/>
      <c r="BE42" s="578"/>
      <c r="BF42" s="578"/>
      <c r="BG42" s="578"/>
      <c r="BH42" s="578"/>
      <c r="BI42" s="578"/>
      <c r="BJ42" s="578"/>
      <c r="BK42" s="578"/>
      <c r="BL42" s="578"/>
      <c r="BM42" s="578"/>
      <c r="BN42" s="578"/>
      <c r="BO42" s="578"/>
      <c r="BP42" s="578"/>
      <c r="BQ42" s="578"/>
      <c r="BR42" s="578"/>
      <c r="BS42" s="578"/>
      <c r="BT42" s="578"/>
      <c r="BU42" s="578"/>
      <c r="BV42" s="578"/>
      <c r="BW42" s="578"/>
      <c r="BX42" s="578"/>
      <c r="BY42" s="578"/>
      <c r="BZ42" s="578"/>
      <c r="CA42" s="578"/>
      <c r="CB42" s="578"/>
      <c r="CC42" s="578"/>
      <c r="CD42" s="578"/>
      <c r="CE42" s="578"/>
      <c r="CF42" s="578"/>
      <c r="CG42" s="578"/>
      <c r="CH42" s="578"/>
      <c r="CI42" s="578"/>
      <c r="CJ42" s="578"/>
      <c r="CK42" s="578"/>
      <c r="CL42" s="578"/>
      <c r="CM42" s="578"/>
      <c r="CN42" s="578"/>
      <c r="CO42" s="578"/>
      <c r="CP42" s="578"/>
      <c r="CQ42" s="578"/>
      <c r="CR42" s="578"/>
      <c r="CS42" s="578"/>
      <c r="CT42" s="578"/>
      <c r="CU42" s="578"/>
      <c r="CV42" s="578"/>
      <c r="CW42" s="578"/>
      <c r="CX42" s="578"/>
      <c r="CY42" s="578"/>
      <c r="CZ42" s="578"/>
      <c r="DA42" s="578"/>
      <c r="DB42" s="578"/>
      <c r="DC42" s="578"/>
      <c r="DD42" s="578"/>
      <c r="DE42" s="578"/>
      <c r="DF42" s="578"/>
      <c r="DG42" s="578"/>
      <c r="DH42" s="578"/>
      <c r="DI42" s="578"/>
      <c r="DJ42" s="578"/>
      <c r="DK42" s="578"/>
      <c r="DL42" s="578"/>
      <c r="DM42" s="578"/>
      <c r="DN42" s="578"/>
      <c r="DO42" s="578"/>
    </row>
    <row r="43" spans="2:119" s="574" customFormat="1" ht="18.75" hidden="1" customHeight="1" x14ac:dyDescent="0.3">
      <c r="B43" s="575">
        <v>42782</v>
      </c>
      <c r="C43" s="575" t="str">
        <f>MONTH(Table_NFI[[#This Row],[Distribution Date]]) &amp; "/" &amp; YEAR(Table_NFI[[#This Row],[Distribution Date]])</f>
        <v>2/2017</v>
      </c>
      <c r="D43" s="213" t="s">
        <v>420</v>
      </c>
      <c r="E43" s="213" t="s">
        <v>424</v>
      </c>
      <c r="F43" s="213" t="s">
        <v>378</v>
      </c>
      <c r="G43" s="213" t="s">
        <v>480</v>
      </c>
      <c r="H43" s="213" t="s">
        <v>1159</v>
      </c>
      <c r="I43" s="197"/>
      <c r="J43" s="576"/>
      <c r="K43" s="576"/>
      <c r="L43" s="576"/>
      <c r="M43" s="576"/>
      <c r="N43" s="576"/>
      <c r="O43" s="576"/>
      <c r="P43" s="576"/>
      <c r="Q43" s="576"/>
      <c r="R43" s="576"/>
      <c r="S43" s="576"/>
      <c r="T43" s="576"/>
      <c r="U43" s="576">
        <v>62</v>
      </c>
      <c r="V43" s="576">
        <v>33</v>
      </c>
      <c r="W43" s="576"/>
      <c r="X43" s="576"/>
      <c r="Y43" s="576"/>
      <c r="Z43" s="576"/>
      <c r="AA43" s="576"/>
      <c r="AB43" s="576"/>
      <c r="AC43" s="577"/>
      <c r="AD43" s="577"/>
      <c r="AE43" s="577"/>
      <c r="AF43" s="577"/>
      <c r="AG43" s="577"/>
      <c r="AH43" s="577"/>
      <c r="AI43" s="577"/>
      <c r="AJ43" s="577"/>
      <c r="AK43" s="577"/>
      <c r="AL43" s="577"/>
      <c r="AM43" s="577"/>
      <c r="AN43" s="577"/>
      <c r="AO43" s="577"/>
      <c r="AP43" s="577">
        <f>IF(Table_NFI[[#This Row],[Winter Clothes Adult]]+Table_NFI[[#This Row],[Winter Clothes Children]]+Table_NFI[[#This Row],[Winter Items Other]]+Table_NFI[[#This Row],[Winter Blanket]]&gt;0,1,0)</f>
        <v>1</v>
      </c>
      <c r="AQ43" s="577"/>
      <c r="AR43" s="577"/>
      <c r="AS43" s="577"/>
      <c r="AT43" s="220" t="str">
        <f>IFERROR(VLOOKUP(Table_NFI[[#This Row],[Location]],CL,2,0),"")</f>
        <v>MMR001CMP244</v>
      </c>
      <c r="AU43" s="197" t="s">
        <v>1240</v>
      </c>
      <c r="AV43" s="578"/>
      <c r="AW43" s="578"/>
      <c r="AX43" s="578"/>
      <c r="AY43" s="578"/>
      <c r="AZ43" s="578"/>
      <c r="BA43" s="578"/>
      <c r="BB43" s="578"/>
      <c r="BC43" s="578"/>
      <c r="BD43" s="578"/>
      <c r="BE43" s="578"/>
      <c r="BF43" s="578"/>
      <c r="BG43" s="578"/>
      <c r="BH43" s="578"/>
      <c r="BI43" s="578"/>
      <c r="BJ43" s="578"/>
      <c r="BK43" s="578"/>
      <c r="BL43" s="578"/>
      <c r="BM43" s="578"/>
      <c r="BN43" s="578"/>
      <c r="BO43" s="578"/>
      <c r="BP43" s="578"/>
      <c r="BQ43" s="578"/>
      <c r="BR43" s="578"/>
      <c r="BS43" s="578"/>
      <c r="BT43" s="578"/>
      <c r="BU43" s="578"/>
      <c r="BV43" s="578"/>
      <c r="BW43" s="578"/>
      <c r="BX43" s="578"/>
      <c r="BY43" s="578"/>
      <c r="BZ43" s="578"/>
      <c r="CA43" s="578"/>
      <c r="CB43" s="578"/>
      <c r="CC43" s="578"/>
      <c r="CD43" s="578"/>
      <c r="CE43" s="578"/>
      <c r="CF43" s="578"/>
      <c r="CG43" s="578"/>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row>
    <row r="44" spans="2:119" s="574" customFormat="1" ht="18.75" hidden="1" customHeight="1" x14ac:dyDescent="0.3">
      <c r="B44" s="575">
        <v>42795</v>
      </c>
      <c r="C44" s="575" t="str">
        <f>MONTH(Table_NFI[[#This Row],[Distribution Date]]) &amp; "/" &amp; YEAR(Table_NFI[[#This Row],[Distribution Date]])</f>
        <v>3/2017</v>
      </c>
      <c r="D44" s="212" t="s">
        <v>1390</v>
      </c>
      <c r="E44" s="212" t="s">
        <v>1390</v>
      </c>
      <c r="F44" s="213" t="s">
        <v>378</v>
      </c>
      <c r="G44" s="213" t="s">
        <v>309</v>
      </c>
      <c r="H44" s="213" t="s">
        <v>1258</v>
      </c>
      <c r="I44" s="197"/>
      <c r="J44" s="576">
        <v>55</v>
      </c>
      <c r="K44" s="576"/>
      <c r="L44" s="576"/>
      <c r="M44" s="576">
        <v>495</v>
      </c>
      <c r="N44" s="576"/>
      <c r="O44" s="576"/>
      <c r="P44" s="576"/>
      <c r="Q44" s="576"/>
      <c r="R44" s="576"/>
      <c r="S44" s="576">
        <v>55</v>
      </c>
      <c r="T44" s="576"/>
      <c r="U44" s="576"/>
      <c r="V44" s="576"/>
      <c r="W44" s="576"/>
      <c r="X44" s="576"/>
      <c r="Y44" s="576">
        <v>55</v>
      </c>
      <c r="Z44" s="576"/>
      <c r="AA44" s="576"/>
      <c r="AB44" s="576"/>
      <c r="AC44" s="577"/>
      <c r="AD44" s="577"/>
      <c r="AE44" s="577"/>
      <c r="AF44" s="577"/>
      <c r="AG44" s="577"/>
      <c r="AH44" s="577"/>
      <c r="AI44" s="577"/>
      <c r="AJ44" s="577"/>
      <c r="AK44" s="577"/>
      <c r="AL44" s="577"/>
      <c r="AM44" s="577"/>
      <c r="AN44" s="577"/>
      <c r="AO44" s="577"/>
      <c r="AP44" s="577">
        <f>IF(Table_NFI[[#This Row],[Winter Clothes Adult]]+Table_NFI[[#This Row],[Winter Clothes Children]]+Table_NFI[[#This Row],[Winter Items Other]]+Table_NFI[[#This Row],[Winter Blanket]]&gt;0,1,0)</f>
        <v>0</v>
      </c>
      <c r="AQ44" s="577"/>
      <c r="AR44" s="577"/>
      <c r="AS44" s="577"/>
      <c r="AT44" s="220" t="str">
        <f>IFERROR(VLOOKUP(Table_NFI[[#This Row],[Location]],CL,2,0),"")</f>
        <v>MMR001CMP248</v>
      </c>
      <c r="AU44" s="197" t="s">
        <v>1261</v>
      </c>
      <c r="AV44" s="578"/>
      <c r="AW44" s="578"/>
      <c r="AX44" s="578"/>
      <c r="AY44" s="578"/>
      <c r="AZ44" s="578"/>
      <c r="BA44" s="578"/>
      <c r="BB44" s="578"/>
      <c r="BC44" s="578"/>
      <c r="BD44" s="578"/>
      <c r="BE44" s="578"/>
      <c r="BF44" s="578"/>
      <c r="BG44" s="578"/>
      <c r="BH44" s="578"/>
      <c r="BI44" s="578"/>
      <c r="BJ44" s="578"/>
      <c r="BK44" s="578"/>
      <c r="BL44" s="578"/>
      <c r="BM44" s="578"/>
      <c r="BN44" s="578"/>
      <c r="BO44" s="578"/>
      <c r="BP44" s="578"/>
      <c r="BQ44" s="578"/>
      <c r="BR44" s="578"/>
      <c r="BS44" s="578"/>
      <c r="BT44" s="578"/>
      <c r="BU44" s="578"/>
      <c r="BV44" s="578"/>
      <c r="BW44" s="578"/>
      <c r="BX44" s="578"/>
      <c r="BY44" s="578"/>
      <c r="BZ44" s="578"/>
      <c r="CA44" s="578"/>
      <c r="CB44" s="578"/>
      <c r="CC44" s="578"/>
      <c r="CD44" s="578"/>
      <c r="CE44" s="578"/>
      <c r="CF44" s="578"/>
      <c r="CG44" s="578"/>
      <c r="CH44" s="578"/>
      <c r="CI44" s="578"/>
      <c r="CJ44" s="578"/>
      <c r="CK44" s="578"/>
      <c r="CL44" s="578"/>
      <c r="CM44" s="578"/>
      <c r="CN44" s="578"/>
      <c r="CO44" s="578"/>
      <c r="CP44" s="578"/>
      <c r="CQ44" s="578"/>
      <c r="CR44" s="578"/>
      <c r="CS44" s="578"/>
      <c r="CT44" s="578"/>
      <c r="CU44" s="578"/>
      <c r="CV44" s="578"/>
      <c r="CW44" s="578"/>
      <c r="CX44" s="578"/>
      <c r="CY44" s="578"/>
      <c r="CZ44" s="578"/>
      <c r="DA44" s="578"/>
      <c r="DB44" s="578"/>
      <c r="DC44" s="578"/>
      <c r="DD44" s="578"/>
      <c r="DE44" s="578"/>
      <c r="DF44" s="578"/>
      <c r="DG44" s="578"/>
      <c r="DH44" s="578"/>
      <c r="DI44" s="578"/>
      <c r="DJ44" s="578"/>
      <c r="DK44" s="578"/>
      <c r="DL44" s="578"/>
      <c r="DM44" s="578"/>
      <c r="DN44" s="578"/>
      <c r="DO44" s="578"/>
    </row>
    <row r="45" spans="2:119" s="574" customFormat="1" ht="18.75" hidden="1" customHeight="1" x14ac:dyDescent="0.3">
      <c r="B45" s="575">
        <v>42795</v>
      </c>
      <c r="C45" s="575" t="str">
        <f>MONTH(Table_NFI[[#This Row],[Distribution Date]]) &amp; "/" &amp; YEAR(Table_NFI[[#This Row],[Distribution Date]])</f>
        <v>3/2017</v>
      </c>
      <c r="D45" s="212" t="s">
        <v>1390</v>
      </c>
      <c r="E45" s="212" t="s">
        <v>1390</v>
      </c>
      <c r="F45" s="213" t="s">
        <v>378</v>
      </c>
      <c r="G45" s="213" t="s">
        <v>309</v>
      </c>
      <c r="H45" s="213" t="s">
        <v>1263</v>
      </c>
      <c r="I45" s="197"/>
      <c r="J45" s="576">
        <v>91</v>
      </c>
      <c r="K45" s="576"/>
      <c r="L45" s="576">
        <v>92</v>
      </c>
      <c r="M45" s="576">
        <v>546</v>
      </c>
      <c r="N45" s="576">
        <v>184</v>
      </c>
      <c r="O45" s="576">
        <v>170</v>
      </c>
      <c r="P45" s="576">
        <v>184</v>
      </c>
      <c r="Q45" s="576"/>
      <c r="R45" s="576"/>
      <c r="S45" s="576">
        <v>91</v>
      </c>
      <c r="T45" s="576">
        <v>184</v>
      </c>
      <c r="U45" s="576"/>
      <c r="V45" s="576"/>
      <c r="W45" s="576"/>
      <c r="X45" s="576"/>
      <c r="Y45" s="576">
        <v>91</v>
      </c>
      <c r="Z45" s="576"/>
      <c r="AA45" s="576">
        <v>85</v>
      </c>
      <c r="AB45" s="576"/>
      <c r="AC45" s="577"/>
      <c r="AD45" s="577"/>
      <c r="AE45" s="577"/>
      <c r="AF45" s="577"/>
      <c r="AG45" s="577"/>
      <c r="AH45" s="577"/>
      <c r="AI45" s="577"/>
      <c r="AJ45" s="577"/>
      <c r="AK45" s="577"/>
      <c r="AL45" s="577"/>
      <c r="AM45" s="577"/>
      <c r="AN45" s="577"/>
      <c r="AO45" s="577"/>
      <c r="AP45" s="577">
        <f>IF(Table_NFI[[#This Row],[Winter Clothes Adult]]+Table_NFI[[#This Row],[Winter Clothes Children]]+Table_NFI[[#This Row],[Winter Items Other]]+Table_NFI[[#This Row],[Winter Blanket]]&gt;0,1,0)</f>
        <v>0</v>
      </c>
      <c r="AQ45" s="577"/>
      <c r="AR45" s="577"/>
      <c r="AS45" s="577"/>
      <c r="AT45" s="220" t="str">
        <f>IFERROR(VLOOKUP(Table_NFI[[#This Row],[Location]],CL,2,0),"")</f>
        <v>MMR001CMP258</v>
      </c>
      <c r="AU45" s="197" t="s">
        <v>1266</v>
      </c>
      <c r="AV45" s="578"/>
      <c r="AW45" s="578"/>
      <c r="AX45" s="578"/>
      <c r="AY45" s="578"/>
      <c r="AZ45" s="578"/>
      <c r="BA45" s="578"/>
      <c r="BB45" s="578"/>
      <c r="BC45" s="578"/>
      <c r="BD45" s="578"/>
      <c r="BE45" s="578"/>
      <c r="BF45" s="578"/>
      <c r="BG45" s="578"/>
      <c r="BH45" s="578"/>
      <c r="BI45" s="578"/>
      <c r="BJ45" s="578"/>
      <c r="BK45" s="578"/>
      <c r="BL45" s="578"/>
      <c r="BM45" s="578"/>
      <c r="BN45" s="578"/>
      <c r="BO45" s="578"/>
      <c r="BP45" s="578"/>
      <c r="BQ45" s="578"/>
      <c r="BR45" s="578"/>
      <c r="BS45" s="578"/>
      <c r="BT45" s="578"/>
      <c r="BU45" s="578"/>
      <c r="BV45" s="578"/>
      <c r="BW45" s="578"/>
      <c r="BX45" s="578"/>
      <c r="BY45" s="578"/>
      <c r="BZ45" s="578"/>
      <c r="CA45" s="578"/>
      <c r="CB45" s="578"/>
      <c r="CC45" s="578"/>
      <c r="CD45" s="578"/>
      <c r="CE45" s="578"/>
      <c r="CF45" s="578"/>
      <c r="CG45" s="578"/>
      <c r="CH45" s="578"/>
      <c r="CI45" s="578"/>
      <c r="CJ45" s="578"/>
      <c r="CK45" s="578"/>
      <c r="CL45" s="578"/>
      <c r="CM45" s="578"/>
      <c r="CN45" s="578"/>
      <c r="CO45" s="578"/>
      <c r="CP45" s="578"/>
      <c r="CQ45" s="578"/>
      <c r="CR45" s="578"/>
      <c r="CS45" s="578"/>
      <c r="CT45" s="578"/>
      <c r="CU45" s="578"/>
      <c r="CV45" s="578"/>
      <c r="CW45" s="578"/>
      <c r="CX45" s="578"/>
      <c r="CY45" s="578"/>
      <c r="CZ45" s="578"/>
      <c r="DA45" s="578"/>
      <c r="DB45" s="578"/>
      <c r="DC45" s="578"/>
      <c r="DD45" s="578"/>
      <c r="DE45" s="578"/>
      <c r="DF45" s="578"/>
      <c r="DG45" s="578"/>
      <c r="DH45" s="578"/>
      <c r="DI45" s="578"/>
      <c r="DJ45" s="578"/>
      <c r="DK45" s="578"/>
      <c r="DL45" s="578"/>
      <c r="DM45" s="578"/>
      <c r="DN45" s="578"/>
      <c r="DO45" s="578"/>
    </row>
    <row r="46" spans="2:119" s="574" customFormat="1" ht="18.75" hidden="1" customHeight="1" x14ac:dyDescent="0.3">
      <c r="B46" s="575">
        <v>42808</v>
      </c>
      <c r="C46" s="575" t="str">
        <f>MONTH(Table_NFI[[#This Row],[Distribution Date]]) &amp; "/" &amp; YEAR(Table_NFI[[#This Row],[Distribution Date]])</f>
        <v>3/2017</v>
      </c>
      <c r="D46" s="212" t="s">
        <v>1390</v>
      </c>
      <c r="E46" s="212" t="s">
        <v>1390</v>
      </c>
      <c r="F46" s="579" t="s">
        <v>378</v>
      </c>
      <c r="G46" s="212" t="s">
        <v>185</v>
      </c>
      <c r="H46" s="213" t="s">
        <v>194</v>
      </c>
      <c r="I46" s="197"/>
      <c r="J46" s="576"/>
      <c r="K46" s="576"/>
      <c r="L46" s="576">
        <v>8</v>
      </c>
      <c r="M46" s="576"/>
      <c r="N46" s="576">
        <v>16</v>
      </c>
      <c r="O46" s="576"/>
      <c r="P46" s="576">
        <v>16</v>
      </c>
      <c r="Q46" s="576"/>
      <c r="R46" s="576"/>
      <c r="S46" s="576"/>
      <c r="T46" s="576">
        <v>16</v>
      </c>
      <c r="U46" s="576"/>
      <c r="V46" s="576"/>
      <c r="W46" s="576"/>
      <c r="X46" s="576"/>
      <c r="Y46" s="576"/>
      <c r="Z46" s="576"/>
      <c r="AA46" s="576"/>
      <c r="AB46" s="576"/>
      <c r="AC46" s="577"/>
      <c r="AD46" s="577"/>
      <c r="AE46" s="577"/>
      <c r="AF46" s="577"/>
      <c r="AG46" s="577"/>
      <c r="AH46" s="577"/>
      <c r="AI46" s="577"/>
      <c r="AJ46" s="577"/>
      <c r="AK46" s="577"/>
      <c r="AL46" s="577"/>
      <c r="AM46" s="577"/>
      <c r="AN46" s="577"/>
      <c r="AO46" s="577"/>
      <c r="AP46" s="577">
        <f>IF(Table_NFI[[#This Row],[Winter Clothes Adult]]+Table_NFI[[#This Row],[Winter Clothes Children]]+Table_NFI[[#This Row],[Winter Items Other]]+Table_NFI[[#This Row],[Winter Blanket]]&gt;0,1,0)</f>
        <v>0</v>
      </c>
      <c r="AQ46" s="577"/>
      <c r="AR46" s="577"/>
      <c r="AS46" s="577"/>
      <c r="AT46" s="220" t="str">
        <f>IFERROR(VLOOKUP(Table_NFI[[#This Row],[Location]],CL,2,0),"")</f>
        <v>MMR001CMP122</v>
      </c>
      <c r="AU46" s="197" t="s">
        <v>1261</v>
      </c>
      <c r="AV46" s="578"/>
      <c r="AW46" s="578"/>
      <c r="AX46" s="578"/>
      <c r="AY46" s="578"/>
      <c r="AZ46" s="578"/>
      <c r="BA46" s="578"/>
      <c r="BB46" s="578"/>
      <c r="BC46" s="578"/>
      <c r="BD46" s="578"/>
      <c r="BE46" s="578"/>
      <c r="BF46" s="578"/>
      <c r="BG46" s="578"/>
      <c r="BH46" s="578"/>
      <c r="BI46" s="578"/>
      <c r="BJ46" s="578"/>
      <c r="BK46" s="578"/>
      <c r="BL46" s="578"/>
      <c r="BM46" s="578"/>
      <c r="BN46" s="578"/>
      <c r="BO46" s="578"/>
      <c r="BP46" s="578"/>
      <c r="BQ46" s="578"/>
      <c r="BR46" s="578"/>
      <c r="BS46" s="578"/>
      <c r="BT46" s="578"/>
      <c r="BU46" s="578"/>
      <c r="BV46" s="578"/>
      <c r="BW46" s="578"/>
      <c r="BX46" s="578"/>
      <c r="BY46" s="578"/>
      <c r="BZ46" s="578"/>
      <c r="CA46" s="578"/>
      <c r="CB46" s="578"/>
      <c r="CC46" s="578"/>
      <c r="CD46" s="578"/>
      <c r="CE46" s="578"/>
      <c r="CF46" s="578"/>
      <c r="CG46" s="578"/>
      <c r="CH46" s="578"/>
      <c r="CI46" s="578"/>
      <c r="CJ46" s="578"/>
      <c r="CK46" s="578"/>
      <c r="CL46" s="578"/>
      <c r="CM46" s="578"/>
      <c r="CN46" s="578"/>
      <c r="CO46" s="578"/>
      <c r="CP46" s="578"/>
      <c r="CQ46" s="578"/>
      <c r="CR46" s="578"/>
      <c r="CS46" s="578"/>
      <c r="CT46" s="578"/>
      <c r="CU46" s="578"/>
      <c r="CV46" s="578"/>
      <c r="CW46" s="578"/>
      <c r="CX46" s="578"/>
      <c r="CY46" s="578"/>
      <c r="CZ46" s="578"/>
      <c r="DA46" s="578"/>
      <c r="DB46" s="578"/>
      <c r="DC46" s="578"/>
      <c r="DD46" s="578"/>
      <c r="DE46" s="578"/>
      <c r="DF46" s="578"/>
      <c r="DG46" s="578"/>
      <c r="DH46" s="578"/>
      <c r="DI46" s="578"/>
      <c r="DJ46" s="578"/>
      <c r="DK46" s="578"/>
      <c r="DL46" s="578"/>
      <c r="DM46" s="578"/>
      <c r="DN46" s="578"/>
      <c r="DO46" s="578"/>
    </row>
    <row r="47" spans="2:119" s="574" customFormat="1" ht="18.75" hidden="1" customHeight="1" x14ac:dyDescent="0.3">
      <c r="B47" s="575">
        <v>42808</v>
      </c>
      <c r="C47" s="575" t="str">
        <f>MONTH(Table_NFI[[#This Row],[Distribution Date]]) &amp; "/" &amp; YEAR(Table_NFI[[#This Row],[Distribution Date]])</f>
        <v>3/2017</v>
      </c>
      <c r="D47" s="212" t="s">
        <v>1390</v>
      </c>
      <c r="E47" s="212" t="s">
        <v>1390</v>
      </c>
      <c r="F47" s="213" t="s">
        <v>378</v>
      </c>
      <c r="G47" s="213" t="s">
        <v>309</v>
      </c>
      <c r="H47" s="213" t="s">
        <v>196</v>
      </c>
      <c r="I47" s="197"/>
      <c r="J47" s="576"/>
      <c r="K47" s="576"/>
      <c r="L47" s="576">
        <v>6</v>
      </c>
      <c r="M47" s="576"/>
      <c r="N47" s="576">
        <v>12</v>
      </c>
      <c r="O47" s="576"/>
      <c r="P47" s="576">
        <v>12</v>
      </c>
      <c r="Q47" s="576"/>
      <c r="R47" s="576"/>
      <c r="S47" s="576"/>
      <c r="T47" s="576">
        <v>12</v>
      </c>
      <c r="U47" s="576"/>
      <c r="V47" s="576"/>
      <c r="W47" s="576"/>
      <c r="X47" s="576"/>
      <c r="Y47" s="576"/>
      <c r="Z47" s="576"/>
      <c r="AA47" s="576"/>
      <c r="AB47" s="576"/>
      <c r="AC47" s="577"/>
      <c r="AD47" s="577"/>
      <c r="AE47" s="577"/>
      <c r="AF47" s="577"/>
      <c r="AG47" s="577"/>
      <c r="AH47" s="577"/>
      <c r="AI47" s="577"/>
      <c r="AJ47" s="577"/>
      <c r="AK47" s="577"/>
      <c r="AL47" s="577"/>
      <c r="AM47" s="577"/>
      <c r="AN47" s="577"/>
      <c r="AO47" s="577"/>
      <c r="AP47" s="577">
        <f>IF(Table_NFI[[#This Row],[Winter Clothes Adult]]+Table_NFI[[#This Row],[Winter Clothes Children]]+Table_NFI[[#This Row],[Winter Items Other]]+Table_NFI[[#This Row],[Winter Blanket]]&gt;0,1,0)</f>
        <v>0</v>
      </c>
      <c r="AQ47" s="577"/>
      <c r="AR47" s="577"/>
      <c r="AS47" s="577"/>
      <c r="AT47" s="220" t="str">
        <f>IFERROR(VLOOKUP(Table_NFI[[#This Row],[Location]],CL,2,0),"")</f>
        <v>MMR001CMP121</v>
      </c>
      <c r="AU47" s="197" t="s">
        <v>1261</v>
      </c>
      <c r="AV47" s="578"/>
      <c r="AW47" s="578"/>
      <c r="AX47" s="578"/>
      <c r="AY47" s="578"/>
      <c r="AZ47" s="578"/>
      <c r="BA47" s="578"/>
      <c r="BB47" s="578"/>
      <c r="BC47" s="578"/>
      <c r="BD47" s="578"/>
      <c r="BE47" s="578"/>
      <c r="BF47" s="578"/>
      <c r="BG47" s="578"/>
      <c r="BH47" s="578"/>
      <c r="BI47" s="578"/>
      <c r="BJ47" s="578"/>
      <c r="BK47" s="578"/>
      <c r="BL47" s="578"/>
      <c r="BM47" s="578"/>
      <c r="BN47" s="578"/>
      <c r="BO47" s="578"/>
      <c r="BP47" s="578"/>
      <c r="BQ47" s="578"/>
      <c r="BR47" s="578"/>
      <c r="BS47" s="578"/>
      <c r="BT47" s="578"/>
      <c r="BU47" s="578"/>
      <c r="BV47" s="578"/>
      <c r="BW47" s="578"/>
      <c r="BX47" s="578"/>
      <c r="BY47" s="578"/>
      <c r="BZ47" s="578"/>
      <c r="CA47" s="578"/>
      <c r="CB47" s="578"/>
      <c r="CC47" s="578"/>
      <c r="CD47" s="578"/>
      <c r="CE47" s="578"/>
      <c r="CF47" s="578"/>
      <c r="CG47" s="578"/>
      <c r="CH47" s="578"/>
      <c r="CI47" s="578"/>
      <c r="CJ47" s="578"/>
      <c r="CK47" s="578"/>
      <c r="CL47" s="578"/>
      <c r="CM47" s="578"/>
      <c r="CN47" s="578"/>
      <c r="CO47" s="578"/>
      <c r="CP47" s="578"/>
      <c r="CQ47" s="578"/>
      <c r="CR47" s="578"/>
      <c r="CS47" s="578"/>
      <c r="CT47" s="578"/>
      <c r="CU47" s="578"/>
      <c r="CV47" s="578"/>
      <c r="CW47" s="578"/>
      <c r="CX47" s="578"/>
      <c r="CY47" s="578"/>
      <c r="CZ47" s="578"/>
      <c r="DA47" s="578"/>
      <c r="DB47" s="578"/>
      <c r="DC47" s="578"/>
      <c r="DD47" s="578"/>
      <c r="DE47" s="578"/>
      <c r="DF47" s="578"/>
      <c r="DG47" s="578"/>
      <c r="DH47" s="578"/>
      <c r="DI47" s="578"/>
      <c r="DJ47" s="578"/>
      <c r="DK47" s="578"/>
      <c r="DL47" s="578"/>
      <c r="DM47" s="578"/>
      <c r="DN47" s="578"/>
      <c r="DO47" s="578"/>
    </row>
    <row r="48" spans="2:119" s="574" customFormat="1" ht="18.75" hidden="1" customHeight="1" x14ac:dyDescent="0.3">
      <c r="B48" s="575">
        <v>42809</v>
      </c>
      <c r="C48" s="575" t="str">
        <f>MONTH(Table_NFI[[#This Row],[Distribution Date]]) &amp; "/" &amp; YEAR(Table_NFI[[#This Row],[Distribution Date]])</f>
        <v>3/2017</v>
      </c>
      <c r="D48" s="212" t="s">
        <v>420</v>
      </c>
      <c r="E48" s="213" t="s">
        <v>462</v>
      </c>
      <c r="F48" s="213" t="s">
        <v>378</v>
      </c>
      <c r="G48" s="213" t="s">
        <v>27</v>
      </c>
      <c r="H48" s="213" t="s">
        <v>28</v>
      </c>
      <c r="I48" s="197"/>
      <c r="J48" s="576"/>
      <c r="K48" s="576"/>
      <c r="L48" s="576"/>
      <c r="M48" s="576"/>
      <c r="N48" s="576"/>
      <c r="O48" s="576"/>
      <c r="P48" s="576"/>
      <c r="Q48" s="576"/>
      <c r="R48" s="576"/>
      <c r="S48" s="576"/>
      <c r="T48" s="576"/>
      <c r="U48" s="576">
        <v>79</v>
      </c>
      <c r="V48" s="576">
        <v>152</v>
      </c>
      <c r="W48" s="576"/>
      <c r="X48" s="576"/>
      <c r="Y48" s="576"/>
      <c r="Z48" s="576"/>
      <c r="AA48" s="576"/>
      <c r="AB48" s="576"/>
      <c r="AC48" s="577"/>
      <c r="AD48" s="577"/>
      <c r="AE48" s="577"/>
      <c r="AF48" s="577"/>
      <c r="AG48" s="577"/>
      <c r="AH48" s="577"/>
      <c r="AI48" s="577"/>
      <c r="AJ48" s="577"/>
      <c r="AK48" s="577"/>
      <c r="AL48" s="577"/>
      <c r="AM48" s="577"/>
      <c r="AN48" s="577"/>
      <c r="AO48" s="577"/>
      <c r="AP48" s="577">
        <f>IF(Table_NFI[[#This Row],[Winter Clothes Adult]]+Table_NFI[[#This Row],[Winter Clothes Children]]+Table_NFI[[#This Row],[Winter Items Other]]+Table_NFI[[#This Row],[Winter Blanket]]&gt;0,1,0)</f>
        <v>1</v>
      </c>
      <c r="AQ48" s="577"/>
      <c r="AR48" s="577"/>
      <c r="AS48" s="577"/>
      <c r="AT48" s="220" t="str">
        <f>IFERROR(VLOOKUP(Table_NFI[[#This Row],[Location]],CL,2,0),"")</f>
        <v>MMR001CMP042</v>
      </c>
      <c r="AU48" s="214" t="s">
        <v>1241</v>
      </c>
      <c r="AV48" s="578"/>
      <c r="AW48" s="578"/>
      <c r="AX48" s="578"/>
      <c r="AY48" s="578"/>
      <c r="AZ48" s="578"/>
      <c r="BA48" s="578"/>
      <c r="BB48" s="578"/>
      <c r="BC48" s="578"/>
      <c r="BD48" s="578"/>
      <c r="BE48" s="578"/>
      <c r="BF48" s="578"/>
      <c r="BG48" s="578"/>
      <c r="BH48" s="578"/>
      <c r="BI48" s="578"/>
      <c r="BJ48" s="578"/>
      <c r="BK48" s="578"/>
      <c r="BL48" s="578"/>
      <c r="BM48" s="578"/>
      <c r="BN48" s="578"/>
      <c r="BO48" s="578"/>
      <c r="BP48" s="578"/>
      <c r="BQ48" s="578"/>
      <c r="BR48" s="578"/>
      <c r="BS48" s="578"/>
      <c r="BT48" s="578"/>
      <c r="BU48" s="578"/>
      <c r="BV48" s="578"/>
      <c r="BW48" s="578"/>
      <c r="BX48" s="578"/>
      <c r="BY48" s="578"/>
      <c r="BZ48" s="578"/>
      <c r="CA48" s="578"/>
      <c r="CB48" s="578"/>
      <c r="CC48" s="578"/>
      <c r="CD48" s="578"/>
      <c r="CE48" s="578"/>
      <c r="CF48" s="578"/>
      <c r="CG48" s="578"/>
      <c r="CH48" s="578"/>
      <c r="CI48" s="578"/>
      <c r="CJ48" s="578"/>
      <c r="CK48" s="578"/>
      <c r="CL48" s="578"/>
      <c r="CM48" s="578"/>
      <c r="CN48" s="578"/>
      <c r="CO48" s="578"/>
      <c r="CP48" s="578"/>
      <c r="CQ48" s="578"/>
      <c r="CR48" s="578"/>
      <c r="CS48" s="578"/>
      <c r="CT48" s="578"/>
      <c r="CU48" s="578"/>
      <c r="CV48" s="578"/>
      <c r="CW48" s="578"/>
      <c r="CX48" s="578"/>
      <c r="CY48" s="578"/>
      <c r="CZ48" s="578"/>
      <c r="DA48" s="578"/>
      <c r="DB48" s="578"/>
      <c r="DC48" s="578"/>
      <c r="DD48" s="578"/>
      <c r="DE48" s="578"/>
      <c r="DF48" s="578"/>
      <c r="DG48" s="578"/>
      <c r="DH48" s="578"/>
      <c r="DI48" s="578"/>
      <c r="DJ48" s="578"/>
      <c r="DK48" s="578"/>
      <c r="DL48" s="578"/>
      <c r="DM48" s="578"/>
      <c r="DN48" s="578"/>
      <c r="DO48" s="578"/>
    </row>
    <row r="49" spans="2:120" s="574" customFormat="1" ht="18.75" hidden="1" customHeight="1" x14ac:dyDescent="0.3">
      <c r="B49" s="575">
        <v>42809</v>
      </c>
      <c r="C49" s="575" t="str">
        <f>MONTH(Table_NFI[[#This Row],[Distribution Date]]) &amp; "/" &amp; YEAR(Table_NFI[[#This Row],[Distribution Date]])</f>
        <v>3/2017</v>
      </c>
      <c r="D49" s="212" t="s">
        <v>1390</v>
      </c>
      <c r="E49" s="212" t="s">
        <v>1390</v>
      </c>
      <c r="F49" s="213" t="s">
        <v>378</v>
      </c>
      <c r="G49" s="213" t="s">
        <v>309</v>
      </c>
      <c r="H49" s="213" t="s">
        <v>351</v>
      </c>
      <c r="I49" s="197"/>
      <c r="J49" s="576"/>
      <c r="K49" s="576"/>
      <c r="L49" s="576">
        <v>6</v>
      </c>
      <c r="M49" s="576"/>
      <c r="N49" s="576">
        <v>12</v>
      </c>
      <c r="O49" s="576"/>
      <c r="P49" s="576">
        <v>12</v>
      </c>
      <c r="Q49" s="576"/>
      <c r="R49" s="576"/>
      <c r="S49" s="576"/>
      <c r="T49" s="576">
        <v>12</v>
      </c>
      <c r="U49" s="576"/>
      <c r="V49" s="576"/>
      <c r="W49" s="576"/>
      <c r="X49" s="576"/>
      <c r="Y49" s="576"/>
      <c r="Z49" s="576"/>
      <c r="AA49" s="576"/>
      <c r="AB49" s="576"/>
      <c r="AC49" s="577"/>
      <c r="AD49" s="577"/>
      <c r="AE49" s="577"/>
      <c r="AF49" s="577"/>
      <c r="AG49" s="577"/>
      <c r="AH49" s="577"/>
      <c r="AI49" s="577"/>
      <c r="AJ49" s="577"/>
      <c r="AK49" s="577"/>
      <c r="AL49" s="577"/>
      <c r="AM49" s="577"/>
      <c r="AN49" s="577"/>
      <c r="AO49" s="577"/>
      <c r="AP49" s="577">
        <f>IF(Table_NFI[[#This Row],[Winter Clothes Adult]]+Table_NFI[[#This Row],[Winter Clothes Children]]+Table_NFI[[#This Row],[Winter Items Other]]+Table_NFI[[#This Row],[Winter Blanket]]&gt;0,1,0)</f>
        <v>0</v>
      </c>
      <c r="AQ49" s="577"/>
      <c r="AR49" s="577"/>
      <c r="AS49" s="577"/>
      <c r="AT49" s="220" t="str">
        <f>IFERROR(VLOOKUP(Table_NFI[[#This Row],[Location]],CL,2,0),"")</f>
        <v>MMR001CMP116</v>
      </c>
      <c r="AU49" s="197" t="s">
        <v>1261</v>
      </c>
      <c r="AV49" s="578"/>
      <c r="AW49" s="578"/>
      <c r="AX49" s="578"/>
      <c r="AY49" s="578"/>
      <c r="AZ49" s="578"/>
      <c r="BA49" s="578"/>
      <c r="BB49" s="578"/>
      <c r="BC49" s="578"/>
      <c r="BD49" s="578"/>
      <c r="BE49" s="578"/>
      <c r="BF49" s="578"/>
      <c r="BG49" s="578"/>
      <c r="BH49" s="578"/>
      <c r="BI49" s="578"/>
      <c r="BJ49" s="578"/>
      <c r="BK49" s="578"/>
      <c r="BL49" s="578"/>
      <c r="BM49" s="578"/>
      <c r="BN49" s="578"/>
      <c r="BO49" s="578"/>
      <c r="BP49" s="578"/>
      <c r="BQ49" s="578"/>
      <c r="BR49" s="578"/>
      <c r="BS49" s="578"/>
      <c r="BT49" s="578"/>
      <c r="BU49" s="578"/>
      <c r="BV49" s="578"/>
      <c r="BW49" s="578"/>
      <c r="BX49" s="578"/>
      <c r="BY49" s="578"/>
      <c r="BZ49" s="578"/>
      <c r="CA49" s="578"/>
      <c r="CB49" s="578"/>
      <c r="CC49" s="578"/>
      <c r="CD49" s="578"/>
      <c r="CE49" s="578"/>
      <c r="CF49" s="578"/>
      <c r="CG49" s="578"/>
      <c r="CH49" s="578"/>
      <c r="CI49" s="578"/>
      <c r="CJ49" s="578"/>
      <c r="CK49" s="578"/>
      <c r="CL49" s="578"/>
      <c r="CM49" s="578"/>
      <c r="CN49" s="578"/>
      <c r="CO49" s="578"/>
      <c r="CP49" s="578"/>
      <c r="CQ49" s="578"/>
      <c r="CR49" s="578"/>
      <c r="CS49" s="578"/>
      <c r="CT49" s="578"/>
      <c r="CU49" s="578"/>
      <c r="CV49" s="578"/>
      <c r="CW49" s="578"/>
      <c r="CX49" s="578"/>
      <c r="CY49" s="578"/>
      <c r="CZ49" s="578"/>
      <c r="DA49" s="578"/>
      <c r="DB49" s="578"/>
      <c r="DC49" s="578"/>
      <c r="DD49" s="578"/>
      <c r="DE49" s="578"/>
      <c r="DF49" s="578"/>
      <c r="DG49" s="578"/>
      <c r="DH49" s="578"/>
      <c r="DI49" s="578"/>
      <c r="DJ49" s="578"/>
      <c r="DK49" s="578"/>
      <c r="DL49" s="578"/>
      <c r="DM49" s="578"/>
      <c r="DN49" s="578"/>
      <c r="DO49" s="578"/>
    </row>
    <row r="50" spans="2:120" s="574" customFormat="1" ht="18.75" hidden="1" customHeight="1" x14ac:dyDescent="0.3">
      <c r="B50" s="575">
        <v>42810</v>
      </c>
      <c r="C50" s="575" t="str">
        <f>MONTH(Table_NFI[[#This Row],[Distribution Date]]) &amp; "/" &amp; YEAR(Table_NFI[[#This Row],[Distribution Date]])</f>
        <v>3/2017</v>
      </c>
      <c r="D50" s="212" t="s">
        <v>420</v>
      </c>
      <c r="E50" s="213" t="s">
        <v>462</v>
      </c>
      <c r="F50" s="213" t="s">
        <v>378</v>
      </c>
      <c r="G50" s="213" t="s">
        <v>27</v>
      </c>
      <c r="H50" s="213" t="s">
        <v>363</v>
      </c>
      <c r="I50" s="197"/>
      <c r="J50" s="576"/>
      <c r="K50" s="576"/>
      <c r="L50" s="576"/>
      <c r="M50" s="576"/>
      <c r="N50" s="576"/>
      <c r="O50" s="576"/>
      <c r="P50" s="576"/>
      <c r="Q50" s="576"/>
      <c r="R50" s="576"/>
      <c r="S50" s="576"/>
      <c r="T50" s="576"/>
      <c r="U50" s="576">
        <v>97</v>
      </c>
      <c r="V50" s="576">
        <v>203</v>
      </c>
      <c r="W50" s="576"/>
      <c r="X50" s="576"/>
      <c r="Y50" s="576"/>
      <c r="Z50" s="576"/>
      <c r="AA50" s="576"/>
      <c r="AB50" s="576"/>
      <c r="AC50" s="577"/>
      <c r="AD50" s="577"/>
      <c r="AE50" s="577"/>
      <c r="AF50" s="577"/>
      <c r="AG50" s="577"/>
      <c r="AH50" s="577"/>
      <c r="AI50" s="577"/>
      <c r="AJ50" s="577"/>
      <c r="AK50" s="577"/>
      <c r="AL50" s="577"/>
      <c r="AM50" s="577"/>
      <c r="AN50" s="577"/>
      <c r="AO50" s="577"/>
      <c r="AP50" s="577">
        <f>IF(Table_NFI[[#This Row],[Winter Clothes Adult]]+Table_NFI[[#This Row],[Winter Clothes Children]]+Table_NFI[[#This Row],[Winter Items Other]]+Table_NFI[[#This Row],[Winter Blanket]]&gt;0,1,0)</f>
        <v>1</v>
      </c>
      <c r="AQ50" s="577"/>
      <c r="AR50" s="577"/>
      <c r="AS50" s="577"/>
      <c r="AT50" s="220" t="str">
        <f>IFERROR(VLOOKUP(Table_NFI[[#This Row],[Location]],CL,2,0),"")</f>
        <v>MMR001CMP195</v>
      </c>
      <c r="AU50" s="580" t="s">
        <v>1241</v>
      </c>
      <c r="AV50" s="578"/>
      <c r="AW50" s="578"/>
      <c r="AX50" s="578"/>
      <c r="AY50" s="578"/>
      <c r="AZ50" s="578"/>
      <c r="BA50" s="578"/>
      <c r="BB50" s="578"/>
      <c r="BC50" s="578"/>
      <c r="BD50" s="578"/>
      <c r="BE50" s="578"/>
      <c r="BF50" s="578"/>
      <c r="BG50" s="578"/>
      <c r="BH50" s="578"/>
      <c r="BI50" s="578"/>
      <c r="BJ50" s="578"/>
      <c r="BK50" s="578"/>
      <c r="BL50" s="578"/>
      <c r="BM50" s="578"/>
      <c r="BN50" s="578"/>
      <c r="BO50" s="578"/>
      <c r="BP50" s="578"/>
      <c r="BQ50" s="578"/>
      <c r="BR50" s="578"/>
      <c r="BS50" s="578"/>
      <c r="BT50" s="578"/>
      <c r="BU50" s="578"/>
      <c r="BV50" s="578"/>
      <c r="BW50" s="578"/>
      <c r="BX50" s="578"/>
      <c r="BY50" s="578"/>
      <c r="BZ50" s="578"/>
      <c r="CA50" s="578"/>
      <c r="CB50" s="578"/>
      <c r="CC50" s="578"/>
      <c r="CD50" s="578"/>
      <c r="CE50" s="578"/>
      <c r="CF50" s="578"/>
      <c r="CG50" s="578"/>
      <c r="CH50" s="578"/>
      <c r="CI50" s="578"/>
      <c r="CJ50" s="578"/>
      <c r="CK50" s="578"/>
      <c r="CL50" s="578"/>
      <c r="CM50" s="578"/>
      <c r="CN50" s="578"/>
      <c r="CO50" s="578"/>
      <c r="CP50" s="578"/>
      <c r="CQ50" s="578"/>
      <c r="CR50" s="578"/>
      <c r="CS50" s="578"/>
      <c r="CT50" s="578"/>
      <c r="CU50" s="578"/>
      <c r="CV50" s="578"/>
      <c r="CW50" s="578"/>
      <c r="CX50" s="578"/>
      <c r="CY50" s="578"/>
      <c r="CZ50" s="578"/>
      <c r="DA50" s="578"/>
      <c r="DB50" s="578"/>
      <c r="DC50" s="578"/>
      <c r="DD50" s="578"/>
      <c r="DE50" s="578"/>
      <c r="DF50" s="578"/>
      <c r="DG50" s="578"/>
      <c r="DH50" s="578"/>
      <c r="DI50" s="578"/>
      <c r="DJ50" s="578"/>
      <c r="DK50" s="578"/>
      <c r="DL50" s="578"/>
      <c r="DM50" s="578"/>
      <c r="DN50" s="578"/>
      <c r="DO50" s="578"/>
    </row>
    <row r="51" spans="2:120" s="574" customFormat="1" ht="18.75" hidden="1" customHeight="1" x14ac:dyDescent="0.3">
      <c r="B51" s="575">
        <v>42813</v>
      </c>
      <c r="C51" s="575" t="str">
        <f>MONTH(Table_NFI[[#This Row],[Distribution Date]]) &amp; "/" &amp; YEAR(Table_NFI[[#This Row],[Distribution Date]])</f>
        <v>3/2017</v>
      </c>
      <c r="D51" s="213" t="s">
        <v>420</v>
      </c>
      <c r="E51" s="213" t="s">
        <v>424</v>
      </c>
      <c r="F51" s="213" t="s">
        <v>378</v>
      </c>
      <c r="G51" s="213" t="s">
        <v>746</v>
      </c>
      <c r="H51" s="213" t="s">
        <v>1066</v>
      </c>
      <c r="I51" s="197"/>
      <c r="J51" s="576"/>
      <c r="K51" s="576"/>
      <c r="L51" s="576"/>
      <c r="M51" s="576"/>
      <c r="N51" s="576"/>
      <c r="O51" s="576"/>
      <c r="P51" s="576">
        <v>292</v>
      </c>
      <c r="Q51" s="576"/>
      <c r="R51" s="576"/>
      <c r="S51" s="576"/>
      <c r="T51" s="576"/>
      <c r="U51" s="576"/>
      <c r="V51" s="576"/>
      <c r="W51" s="576"/>
      <c r="X51" s="576"/>
      <c r="Y51" s="576"/>
      <c r="Z51" s="576"/>
      <c r="AA51" s="576"/>
      <c r="AB51" s="576"/>
      <c r="AC51" s="577"/>
      <c r="AD51" s="577"/>
      <c r="AE51" s="577"/>
      <c r="AF51" s="577"/>
      <c r="AG51" s="577"/>
      <c r="AH51" s="577"/>
      <c r="AI51" s="577"/>
      <c r="AJ51" s="577"/>
      <c r="AK51" s="577"/>
      <c r="AL51" s="577"/>
      <c r="AM51" s="577"/>
      <c r="AN51" s="577"/>
      <c r="AO51" s="577"/>
      <c r="AP51" s="577">
        <f>IF(Table_NFI[[#This Row],[Winter Clothes Adult]]+Table_NFI[[#This Row],[Winter Clothes Children]]+Table_NFI[[#This Row],[Winter Items Other]]+Table_NFI[[#This Row],[Winter Blanket]]&gt;0,1,0)</f>
        <v>0</v>
      </c>
      <c r="AQ51" s="577"/>
      <c r="AR51" s="577"/>
      <c r="AS51" s="577"/>
      <c r="AT51" s="220" t="str">
        <f>IFERROR(VLOOKUP(Table_NFI[[#This Row],[Location]],CL,2,0),"")</f>
        <v>MMR001CMP238</v>
      </c>
      <c r="AU51" s="197" t="s">
        <v>1256</v>
      </c>
      <c r="AV51" s="578"/>
      <c r="AW51" s="578"/>
      <c r="AX51" s="578"/>
      <c r="AY51" s="578"/>
      <c r="AZ51" s="578"/>
      <c r="BA51" s="578"/>
      <c r="BB51" s="578"/>
      <c r="BC51" s="578"/>
      <c r="BD51" s="578"/>
      <c r="BE51" s="578"/>
      <c r="BF51" s="578"/>
      <c r="BG51" s="578"/>
      <c r="BH51" s="578"/>
      <c r="BI51" s="578"/>
      <c r="BJ51" s="578"/>
      <c r="BK51" s="578"/>
      <c r="BL51" s="578"/>
      <c r="BM51" s="578"/>
      <c r="BN51" s="578"/>
      <c r="BO51" s="578"/>
      <c r="BP51" s="578"/>
      <c r="BQ51" s="578"/>
      <c r="BR51" s="578"/>
      <c r="BS51" s="578"/>
      <c r="BT51" s="578"/>
      <c r="BU51" s="578"/>
      <c r="BV51" s="578"/>
      <c r="BW51" s="578"/>
      <c r="BX51" s="578"/>
      <c r="BY51" s="578"/>
      <c r="BZ51" s="578"/>
      <c r="CA51" s="578"/>
      <c r="CB51" s="578"/>
      <c r="CC51" s="578"/>
      <c r="CD51" s="578"/>
      <c r="CE51" s="578"/>
      <c r="CF51" s="578"/>
      <c r="CG51" s="578"/>
      <c r="CH51" s="578"/>
      <c r="CI51" s="578"/>
      <c r="CJ51" s="578"/>
      <c r="CK51" s="578"/>
      <c r="CL51" s="578"/>
      <c r="CM51" s="578"/>
      <c r="CN51" s="578"/>
      <c r="CO51" s="578"/>
      <c r="CP51" s="578"/>
      <c r="CQ51" s="578"/>
      <c r="CR51" s="578"/>
      <c r="CS51" s="578"/>
      <c r="CT51" s="578"/>
      <c r="CU51" s="578"/>
      <c r="CV51" s="578"/>
      <c r="CW51" s="578"/>
      <c r="CX51" s="578"/>
      <c r="CY51" s="578"/>
      <c r="CZ51" s="578"/>
      <c r="DA51" s="578"/>
      <c r="DB51" s="578"/>
      <c r="DC51" s="578"/>
      <c r="DD51" s="578"/>
      <c r="DE51" s="578"/>
      <c r="DF51" s="578"/>
      <c r="DG51" s="578"/>
      <c r="DH51" s="578"/>
      <c r="DI51" s="578"/>
      <c r="DJ51" s="578"/>
      <c r="DK51" s="578"/>
      <c r="DL51" s="578"/>
      <c r="DM51" s="578"/>
      <c r="DN51" s="578"/>
      <c r="DO51" s="578"/>
    </row>
    <row r="52" spans="2:120" s="574" customFormat="1" ht="18.75" hidden="1" customHeight="1" x14ac:dyDescent="0.3">
      <c r="B52" s="575">
        <v>42814</v>
      </c>
      <c r="C52" s="575" t="str">
        <f>MONTH(Table_NFI[[#This Row],[Distribution Date]]) &amp; "/" &amp; YEAR(Table_NFI[[#This Row],[Distribution Date]])</f>
        <v>3/2017</v>
      </c>
      <c r="D52" s="213" t="s">
        <v>420</v>
      </c>
      <c r="E52" s="213" t="s">
        <v>424</v>
      </c>
      <c r="F52" s="213" t="s">
        <v>378</v>
      </c>
      <c r="G52" s="213" t="s">
        <v>746</v>
      </c>
      <c r="H52" s="213" t="s">
        <v>1068</v>
      </c>
      <c r="I52" s="197"/>
      <c r="J52" s="576"/>
      <c r="K52" s="576"/>
      <c r="L52" s="576"/>
      <c r="M52" s="576"/>
      <c r="N52" s="576"/>
      <c r="O52" s="576"/>
      <c r="P52" s="576">
        <v>134</v>
      </c>
      <c r="Q52" s="576"/>
      <c r="R52" s="576"/>
      <c r="S52" s="576"/>
      <c r="T52" s="576"/>
      <c r="U52" s="576"/>
      <c r="V52" s="576"/>
      <c r="W52" s="576"/>
      <c r="X52" s="576"/>
      <c r="Y52" s="576"/>
      <c r="Z52" s="576"/>
      <c r="AA52" s="576"/>
      <c r="AB52" s="576"/>
      <c r="AC52" s="577"/>
      <c r="AD52" s="577"/>
      <c r="AE52" s="577"/>
      <c r="AF52" s="577"/>
      <c r="AG52" s="577"/>
      <c r="AH52" s="577"/>
      <c r="AI52" s="577"/>
      <c r="AJ52" s="577"/>
      <c r="AK52" s="577"/>
      <c r="AL52" s="577"/>
      <c r="AM52" s="577"/>
      <c r="AN52" s="577"/>
      <c r="AO52" s="577"/>
      <c r="AP52" s="577">
        <f>IF(Table_NFI[[#This Row],[Winter Clothes Adult]]+Table_NFI[[#This Row],[Winter Clothes Children]]+Table_NFI[[#This Row],[Winter Items Other]]+Table_NFI[[#This Row],[Winter Blanket]]&gt;0,1,0)</f>
        <v>0</v>
      </c>
      <c r="AQ52" s="577"/>
      <c r="AR52" s="577"/>
      <c r="AS52" s="577"/>
      <c r="AT52" s="220" t="str">
        <f>IFERROR(VLOOKUP(Table_NFI[[#This Row],[Location]],CL,2,0),"")</f>
        <v>MMR001CMP239</v>
      </c>
      <c r="AU52" s="197" t="s">
        <v>1256</v>
      </c>
      <c r="AV52" s="578"/>
      <c r="AW52" s="578"/>
      <c r="AX52" s="578"/>
      <c r="AY52" s="578"/>
      <c r="AZ52" s="578"/>
      <c r="BA52" s="578"/>
      <c r="BB52" s="578"/>
      <c r="BC52" s="578"/>
      <c r="BD52" s="578"/>
      <c r="BE52" s="578"/>
      <c r="BF52" s="578"/>
      <c r="BG52" s="578"/>
      <c r="BH52" s="578"/>
      <c r="BI52" s="578"/>
      <c r="BJ52" s="578"/>
      <c r="BK52" s="578"/>
      <c r="BL52" s="578"/>
      <c r="BM52" s="578"/>
      <c r="BN52" s="578"/>
      <c r="BO52" s="578"/>
      <c r="BP52" s="578"/>
      <c r="BQ52" s="578"/>
      <c r="BR52" s="578"/>
      <c r="BS52" s="578"/>
      <c r="BT52" s="578"/>
      <c r="BU52" s="578"/>
      <c r="BV52" s="578"/>
      <c r="BW52" s="578"/>
      <c r="BX52" s="578"/>
      <c r="BY52" s="578"/>
      <c r="BZ52" s="578"/>
      <c r="CA52" s="578"/>
      <c r="CB52" s="578"/>
      <c r="CC52" s="578"/>
      <c r="CD52" s="578"/>
      <c r="CE52" s="578"/>
      <c r="CF52" s="578"/>
      <c r="CG52" s="578"/>
      <c r="CH52" s="578"/>
      <c r="CI52" s="578"/>
      <c r="CJ52" s="578"/>
      <c r="CK52" s="578"/>
      <c r="CL52" s="578"/>
      <c r="CM52" s="578"/>
      <c r="CN52" s="578"/>
      <c r="CO52" s="578"/>
      <c r="CP52" s="578"/>
      <c r="CQ52" s="578"/>
      <c r="CR52" s="578"/>
      <c r="CS52" s="578"/>
      <c r="CT52" s="578"/>
      <c r="CU52" s="578"/>
      <c r="CV52" s="578"/>
      <c r="CW52" s="578"/>
      <c r="CX52" s="578"/>
      <c r="CY52" s="578"/>
      <c r="CZ52" s="578"/>
      <c r="DA52" s="578"/>
      <c r="DB52" s="578"/>
      <c r="DC52" s="578"/>
      <c r="DD52" s="578"/>
      <c r="DE52" s="578"/>
      <c r="DF52" s="578"/>
      <c r="DG52" s="578"/>
      <c r="DH52" s="578"/>
      <c r="DI52" s="578"/>
      <c r="DJ52" s="578"/>
      <c r="DK52" s="578"/>
      <c r="DL52" s="578"/>
      <c r="DM52" s="578"/>
      <c r="DN52" s="578"/>
      <c r="DO52" s="578"/>
    </row>
    <row r="53" spans="2:120" s="197" customFormat="1" ht="18.75" hidden="1" customHeight="1" x14ac:dyDescent="0.3">
      <c r="B53" s="575">
        <v>42823</v>
      </c>
      <c r="C53" s="575" t="str">
        <f>MONTH(Table_NFI[[#This Row],[Distribution Date]]) &amp; "/" &amp; YEAR(Table_NFI[[#This Row],[Distribution Date]])</f>
        <v>3/2017</v>
      </c>
      <c r="D53" s="212" t="s">
        <v>420</v>
      </c>
      <c r="E53" s="213" t="s">
        <v>462</v>
      </c>
      <c r="F53" s="213" t="s">
        <v>378</v>
      </c>
      <c r="G53" s="213" t="s">
        <v>309</v>
      </c>
      <c r="H53" s="213" t="s">
        <v>342</v>
      </c>
      <c r="J53" s="576"/>
      <c r="K53" s="576"/>
      <c r="L53" s="576">
        <v>5</v>
      </c>
      <c r="M53" s="576">
        <v>5</v>
      </c>
      <c r="N53" s="576">
        <v>10</v>
      </c>
      <c r="O53" s="576">
        <v>5</v>
      </c>
      <c r="P53" s="576">
        <v>10</v>
      </c>
      <c r="Q53" s="576">
        <v>5</v>
      </c>
      <c r="R53" s="576"/>
      <c r="S53" s="576">
        <v>5</v>
      </c>
      <c r="T53" s="576">
        <v>28</v>
      </c>
      <c r="U53" s="576"/>
      <c r="V53" s="576"/>
      <c r="W53" s="576"/>
      <c r="X53" s="576"/>
      <c r="Y53" s="576">
        <v>5</v>
      </c>
      <c r="Z53" s="576"/>
      <c r="AA53" s="576"/>
      <c r="AB53" s="576"/>
      <c r="AC53" s="577"/>
      <c r="AD53" s="577"/>
      <c r="AE53" s="577"/>
      <c r="AF53" s="577"/>
      <c r="AG53" s="577"/>
      <c r="AH53" s="577"/>
      <c r="AI53" s="577"/>
      <c r="AJ53" s="577"/>
      <c r="AK53" s="577"/>
      <c r="AL53" s="577"/>
      <c r="AM53" s="577"/>
      <c r="AN53" s="577"/>
      <c r="AO53" s="577"/>
      <c r="AP53" s="577">
        <f>IF(Table_NFI[[#This Row],[Winter Clothes Adult]]+Table_NFI[[#This Row],[Winter Clothes Children]]+Table_NFI[[#This Row],[Winter Items Other]]+Table_NFI[[#This Row],[Winter Blanket]]&gt;0,1,0)</f>
        <v>0</v>
      </c>
      <c r="AQ53" s="577"/>
      <c r="AR53" s="577"/>
      <c r="AS53" s="577"/>
      <c r="AT53" s="220" t="str">
        <f>IFERROR(VLOOKUP(Table_NFI[[#This Row],[Location]],CL,2,0),"")</f>
        <v>MMR001CMP033</v>
      </c>
      <c r="AU53" s="197" t="s">
        <v>1241</v>
      </c>
    </row>
    <row r="54" spans="2:120" s="197" customFormat="1" ht="18.75" hidden="1" customHeight="1" x14ac:dyDescent="0.3">
      <c r="B54" s="575">
        <v>42825</v>
      </c>
      <c r="C54" s="575" t="str">
        <f>MONTH(Table_NFI[[#This Row],[Distribution Date]]) &amp; "/" &amp; YEAR(Table_NFI[[#This Row],[Distribution Date]])</f>
        <v>3/2017</v>
      </c>
      <c r="D54" s="213" t="s">
        <v>1264</v>
      </c>
      <c r="E54" s="213" t="s">
        <v>1264</v>
      </c>
      <c r="F54" s="213" t="s">
        <v>506</v>
      </c>
      <c r="G54" s="213" t="s">
        <v>146</v>
      </c>
      <c r="H54" s="213" t="s">
        <v>368</v>
      </c>
      <c r="J54" s="576"/>
      <c r="K54" s="576"/>
      <c r="L54" s="576"/>
      <c r="M54" s="576"/>
      <c r="N54" s="576"/>
      <c r="O54" s="576"/>
      <c r="P54" s="576"/>
      <c r="Q54" s="576"/>
      <c r="R54" s="576"/>
      <c r="S54" s="576"/>
      <c r="T54" s="576"/>
      <c r="U54" s="576">
        <v>540</v>
      </c>
      <c r="V54" s="576"/>
      <c r="W54" s="576"/>
      <c r="X54" s="576">
        <v>135</v>
      </c>
      <c r="Y54" s="576"/>
      <c r="Z54" s="576"/>
      <c r="AA54" s="576"/>
      <c r="AB54" s="576"/>
      <c r="AC54" s="577"/>
      <c r="AD54" s="577"/>
      <c r="AE54" s="577"/>
      <c r="AF54" s="577"/>
      <c r="AG54" s="577"/>
      <c r="AH54" s="577"/>
      <c r="AI54" s="577"/>
      <c r="AJ54" s="577"/>
      <c r="AK54" s="577"/>
      <c r="AL54" s="577"/>
      <c r="AM54" s="577"/>
      <c r="AN54" s="577"/>
      <c r="AO54" s="577"/>
      <c r="AP54" s="577">
        <f>IF(Table_NFI[[#This Row],[Winter Clothes Adult]]+Table_NFI[[#This Row],[Winter Clothes Children]]+Table_NFI[[#This Row],[Winter Items Other]]+Table_NFI[[#This Row],[Winter Blanket]]&gt;0,1,0)</f>
        <v>1</v>
      </c>
      <c r="AQ54" s="577"/>
      <c r="AR54" s="577"/>
      <c r="AS54" s="577"/>
      <c r="AT54" s="220" t="str">
        <f>IFERROR(VLOOKUP(Table_NFI[[#This Row],[Location]],CL,2,0),"")</f>
        <v>MMR015CMP017</v>
      </c>
      <c r="AU54" s="197" t="s">
        <v>1265</v>
      </c>
    </row>
    <row r="55" spans="2:120" s="197" customFormat="1" ht="18.75" hidden="1" customHeight="1" x14ac:dyDescent="0.3">
      <c r="B55" s="575">
        <v>42829</v>
      </c>
      <c r="C55" s="575" t="str">
        <f>MONTH(Table_NFI[[#This Row],[Distribution Date]]) &amp; "/" &amp; YEAR(Table_NFI[[#This Row],[Distribution Date]])</f>
        <v>4/2017</v>
      </c>
      <c r="D55" s="212" t="s">
        <v>1264</v>
      </c>
      <c r="E55" s="213" t="s">
        <v>1264</v>
      </c>
      <c r="F55" s="213" t="s">
        <v>378</v>
      </c>
      <c r="G55" s="213" t="s">
        <v>151</v>
      </c>
      <c r="H55" s="213" t="s">
        <v>847</v>
      </c>
      <c r="J55" s="576"/>
      <c r="K55" s="576"/>
      <c r="L55" s="576"/>
      <c r="M55" s="576"/>
      <c r="N55" s="576"/>
      <c r="O55" s="576"/>
      <c r="P55" s="576"/>
      <c r="Q55" s="576"/>
      <c r="R55" s="576"/>
      <c r="S55" s="576"/>
      <c r="T55" s="576"/>
      <c r="U55" s="576">
        <v>144</v>
      </c>
      <c r="V55" s="576"/>
      <c r="W55" s="576"/>
      <c r="X55" s="576">
        <v>36</v>
      </c>
      <c r="Y55" s="576"/>
      <c r="Z55" s="576"/>
      <c r="AA55" s="576"/>
      <c r="AB55" s="576"/>
      <c r="AC55" s="577"/>
      <c r="AD55" s="577"/>
      <c r="AE55" s="577"/>
      <c r="AF55" s="577"/>
      <c r="AG55" s="577"/>
      <c r="AH55" s="577"/>
      <c r="AI55" s="577"/>
      <c r="AJ55" s="577"/>
      <c r="AK55" s="577"/>
      <c r="AL55" s="577"/>
      <c r="AM55" s="577"/>
      <c r="AN55" s="577"/>
      <c r="AO55" s="577"/>
      <c r="AP55" s="577">
        <f>IF(Table_NFI[[#This Row],[Winter Clothes Adult]]+Table_NFI[[#This Row],[Winter Clothes Children]]+Table_NFI[[#This Row],[Winter Items Other]]+Table_NFI[[#This Row],[Winter Blanket]]&gt;0,1,0)</f>
        <v>1</v>
      </c>
      <c r="AQ55" s="577"/>
      <c r="AR55" s="577"/>
      <c r="AS55" s="577"/>
      <c r="AT55" s="220" t="str">
        <f>IFERROR(VLOOKUP(Table_NFI[[#This Row],[Location]],CL,2,0),"")</f>
        <v>MMR001CMP223</v>
      </c>
      <c r="AU55" s="197" t="s">
        <v>1265</v>
      </c>
    </row>
    <row r="56" spans="2:120" s="197" customFormat="1" ht="18.75" hidden="1" customHeight="1" x14ac:dyDescent="0.3">
      <c r="B56" s="575">
        <v>42838</v>
      </c>
      <c r="C56" s="575" t="str">
        <f>MONTH(Table_NFI[[#This Row],[Distribution Date]]) &amp; "/" &amp; YEAR(Table_NFI[[#This Row],[Distribution Date]])</f>
        <v>4/2017</v>
      </c>
      <c r="D56" s="213" t="s">
        <v>420</v>
      </c>
      <c r="E56" s="213" t="s">
        <v>462</v>
      </c>
      <c r="F56" s="213" t="s">
        <v>378</v>
      </c>
      <c r="G56" s="213" t="s">
        <v>309</v>
      </c>
      <c r="H56" s="213" t="s">
        <v>317</v>
      </c>
      <c r="J56" s="576"/>
      <c r="K56" s="576"/>
      <c r="L56" s="576">
        <v>17</v>
      </c>
      <c r="M56" s="576">
        <v>17</v>
      </c>
      <c r="N56" s="576">
        <v>58</v>
      </c>
      <c r="O56" s="576">
        <v>17</v>
      </c>
      <c r="P56" s="576">
        <v>58</v>
      </c>
      <c r="Q56" s="576">
        <v>17</v>
      </c>
      <c r="R56" s="576"/>
      <c r="S56" s="576">
        <v>17</v>
      </c>
      <c r="T56" s="576">
        <v>76</v>
      </c>
      <c r="U56" s="576"/>
      <c r="V56" s="576"/>
      <c r="W56" s="576"/>
      <c r="X56" s="576"/>
      <c r="Y56" s="576">
        <v>17</v>
      </c>
      <c r="Z56" s="576"/>
      <c r="AA56" s="576"/>
      <c r="AB56" s="576">
        <v>15</v>
      </c>
      <c r="AC56" s="577"/>
      <c r="AD56" s="577"/>
      <c r="AE56" s="577"/>
      <c r="AF56" s="577"/>
      <c r="AG56" s="577"/>
      <c r="AH56" s="577"/>
      <c r="AI56" s="577"/>
      <c r="AJ56" s="577"/>
      <c r="AK56" s="577"/>
      <c r="AL56" s="577"/>
      <c r="AM56" s="577"/>
      <c r="AN56" s="577"/>
      <c r="AO56" s="577"/>
      <c r="AP56" s="577">
        <f>IF(Table_NFI[[#This Row],[Winter Clothes Adult]]+Table_NFI[[#This Row],[Winter Clothes Children]]+Table_NFI[[#This Row],[Winter Items Other]]+Table_NFI[[#This Row],[Winter Blanket]]&gt;0,1,0)</f>
        <v>0</v>
      </c>
      <c r="AQ56" s="577"/>
      <c r="AR56" s="577"/>
      <c r="AS56" s="577"/>
      <c r="AT56" s="220" t="str">
        <f>IFERROR(VLOOKUP(Table_NFI[[#This Row],[Location]],CL,2,0),"")</f>
        <v>MMR001CMP032</v>
      </c>
      <c r="AU56" s="197" t="s">
        <v>1257</v>
      </c>
    </row>
    <row r="57" spans="2:120" s="197" customFormat="1" ht="18.75" hidden="1" customHeight="1" x14ac:dyDescent="0.3">
      <c r="B57" s="575">
        <v>42852</v>
      </c>
      <c r="C57" s="575" t="str">
        <f>MONTH(Table_NFI[[#This Row],[Distribution Date]]) &amp; "/" &amp; YEAR(Table_NFI[[#This Row],[Distribution Date]])</f>
        <v>4/2017</v>
      </c>
      <c r="D57" s="212" t="s">
        <v>1390</v>
      </c>
      <c r="E57" s="212" t="s">
        <v>1390</v>
      </c>
      <c r="F57" s="213" t="s">
        <v>378</v>
      </c>
      <c r="G57" s="213" t="s">
        <v>309</v>
      </c>
      <c r="H57" s="213" t="s">
        <v>317</v>
      </c>
      <c r="J57" s="576">
        <v>10</v>
      </c>
      <c r="K57" s="576"/>
      <c r="L57" s="576"/>
      <c r="M57" s="576">
        <v>90</v>
      </c>
      <c r="N57" s="576"/>
      <c r="O57" s="576"/>
      <c r="P57" s="576"/>
      <c r="Q57" s="576"/>
      <c r="R57" s="576"/>
      <c r="S57" s="576">
        <v>10</v>
      </c>
      <c r="T57" s="576"/>
      <c r="U57" s="576"/>
      <c r="V57" s="576"/>
      <c r="W57" s="576"/>
      <c r="X57" s="576"/>
      <c r="Y57" s="576">
        <v>10</v>
      </c>
      <c r="Z57" s="576"/>
      <c r="AA57" s="576"/>
      <c r="AB57" s="576"/>
      <c r="AC57" s="577"/>
      <c r="AD57" s="577"/>
      <c r="AE57" s="577"/>
      <c r="AF57" s="577"/>
      <c r="AG57" s="577"/>
      <c r="AH57" s="577"/>
      <c r="AI57" s="577"/>
      <c r="AJ57" s="577"/>
      <c r="AK57" s="577"/>
      <c r="AL57" s="577"/>
      <c r="AM57" s="577"/>
      <c r="AN57" s="577"/>
      <c r="AO57" s="577"/>
      <c r="AP57" s="577">
        <f>IF(Table_NFI[[#This Row],[Winter Clothes Adult]]+Table_NFI[[#This Row],[Winter Clothes Children]]+Table_NFI[[#This Row],[Winter Items Other]]+Table_NFI[[#This Row],[Winter Blanket]]&gt;0,1,0)</f>
        <v>0</v>
      </c>
      <c r="AQ57" s="577"/>
      <c r="AR57" s="577"/>
      <c r="AS57" s="577"/>
      <c r="AT57" s="220" t="str">
        <f>IFERROR(VLOOKUP(Table_NFI[[#This Row],[Location]],CL,2,0),"")</f>
        <v>MMR001CMP032</v>
      </c>
      <c r="AU57" s="197" t="s">
        <v>1261</v>
      </c>
    </row>
    <row r="58" spans="2:120" ht="18.75" hidden="1" customHeight="1" x14ac:dyDescent="0.3">
      <c r="B58" s="575">
        <v>42860</v>
      </c>
      <c r="C58" s="575" t="str">
        <f>MONTH(Table_NFI[[#This Row],[Distribution Date]]) &amp; "/" &amp; YEAR(Table_NFI[[#This Row],[Distribution Date]])</f>
        <v>5/2017</v>
      </c>
      <c r="D58" s="213" t="s">
        <v>420</v>
      </c>
      <c r="E58" s="213" t="s">
        <v>462</v>
      </c>
      <c r="F58" s="213" t="s">
        <v>378</v>
      </c>
      <c r="G58" s="213" t="s">
        <v>309</v>
      </c>
      <c r="H58" s="213" t="s">
        <v>312</v>
      </c>
      <c r="I58" s="197"/>
      <c r="J58" s="576"/>
      <c r="K58" s="576"/>
      <c r="L58" s="576">
        <v>3</v>
      </c>
      <c r="M58" s="576">
        <v>3</v>
      </c>
      <c r="N58" s="576">
        <v>9</v>
      </c>
      <c r="O58" s="576">
        <v>3</v>
      </c>
      <c r="P58" s="576">
        <v>10</v>
      </c>
      <c r="Q58" s="576">
        <v>5</v>
      </c>
      <c r="R58" s="576"/>
      <c r="S58" s="576">
        <v>5</v>
      </c>
      <c r="T58" s="576">
        <v>28</v>
      </c>
      <c r="U58" s="576"/>
      <c r="V58" s="576"/>
      <c r="W58" s="576"/>
      <c r="X58" s="576"/>
      <c r="Y58" s="576"/>
      <c r="Z58" s="576"/>
      <c r="AA58" s="576"/>
      <c r="AB58" s="576"/>
      <c r="AC58" s="577"/>
      <c r="AD58" s="577"/>
      <c r="AE58" s="577"/>
      <c r="AF58" s="577"/>
      <c r="AG58" s="577"/>
      <c r="AH58" s="577"/>
      <c r="AI58" s="577"/>
      <c r="AJ58" s="577"/>
      <c r="AK58" s="577"/>
      <c r="AL58" s="577"/>
      <c r="AM58" s="577"/>
      <c r="AN58" s="577"/>
      <c r="AO58" s="577"/>
      <c r="AP58" s="577">
        <f>IF(Table_NFI[[#This Row],[Winter Clothes Adult]]+Table_NFI[[#This Row],[Winter Clothes Children]]+Table_NFI[[#This Row],[Winter Items Other]]+Table_NFI[[#This Row],[Winter Blanket]]&gt;0,1,0)</f>
        <v>0</v>
      </c>
      <c r="AQ58" s="577"/>
      <c r="AR58" s="577"/>
      <c r="AS58" s="577"/>
      <c r="AT58" s="220" t="str">
        <f>IFERROR(VLOOKUP(Table_NFI[[#This Row],[Location]],CL,2,0),"")</f>
        <v>MMR001CMP028</v>
      </c>
      <c r="AU58" s="197"/>
      <c r="AV58" s="197"/>
      <c r="DP58" s="569"/>
    </row>
    <row r="59" spans="2:120" ht="18.75" hidden="1" customHeight="1" x14ac:dyDescent="0.3">
      <c r="B59" s="575">
        <v>42860</v>
      </c>
      <c r="C59" s="575" t="str">
        <f>MONTH(Table_NFI[[#This Row],[Distribution Date]]) &amp; "/" &amp; YEAR(Table_NFI[[#This Row],[Distribution Date]])</f>
        <v>5/2017</v>
      </c>
      <c r="D59" s="213" t="s">
        <v>420</v>
      </c>
      <c r="E59" s="213" t="s">
        <v>462</v>
      </c>
      <c r="F59" s="213" t="s">
        <v>378</v>
      </c>
      <c r="G59" s="213" t="s">
        <v>309</v>
      </c>
      <c r="H59" s="213" t="s">
        <v>347</v>
      </c>
      <c r="I59" s="197"/>
      <c r="J59" s="576"/>
      <c r="K59" s="576"/>
      <c r="L59" s="576">
        <v>1</v>
      </c>
      <c r="M59" s="576">
        <v>1</v>
      </c>
      <c r="N59" s="576">
        <v>3</v>
      </c>
      <c r="O59" s="576">
        <v>1</v>
      </c>
      <c r="P59" s="576">
        <v>3</v>
      </c>
      <c r="Q59" s="576">
        <v>1</v>
      </c>
      <c r="R59" s="576"/>
      <c r="S59" s="576">
        <v>1</v>
      </c>
      <c r="T59" s="576">
        <v>3</v>
      </c>
      <c r="U59" s="576"/>
      <c r="V59" s="576"/>
      <c r="W59" s="576"/>
      <c r="X59" s="576"/>
      <c r="Y59" s="576"/>
      <c r="Z59" s="576"/>
      <c r="AA59" s="576"/>
      <c r="AB59" s="576"/>
      <c r="AC59" s="577"/>
      <c r="AD59" s="577"/>
      <c r="AE59" s="577"/>
      <c r="AF59" s="577"/>
      <c r="AG59" s="577"/>
      <c r="AH59" s="577"/>
      <c r="AI59" s="577"/>
      <c r="AJ59" s="577"/>
      <c r="AK59" s="577"/>
      <c r="AL59" s="577"/>
      <c r="AM59" s="577"/>
      <c r="AN59" s="577"/>
      <c r="AO59" s="577"/>
      <c r="AP59" s="577">
        <f>IF(Table_NFI[[#This Row],[Winter Clothes Adult]]+Table_NFI[[#This Row],[Winter Clothes Children]]+Table_NFI[[#This Row],[Winter Items Other]]+Table_NFI[[#This Row],[Winter Blanket]]&gt;0,1,0)</f>
        <v>0</v>
      </c>
      <c r="AQ59" s="577"/>
      <c r="AR59" s="577"/>
      <c r="AS59" s="577"/>
      <c r="AT59" s="220" t="str">
        <f>IFERROR(VLOOKUP(Table_NFI[[#This Row],[Location]],CL,2,0),"")</f>
        <v>MMR001CMP037</v>
      </c>
      <c r="AU59" s="197"/>
      <c r="AV59" s="197"/>
      <c r="DP59" s="569"/>
    </row>
    <row r="60" spans="2:120" ht="18.75" hidden="1" customHeight="1" x14ac:dyDescent="0.3">
      <c r="B60" s="575">
        <v>42860</v>
      </c>
      <c r="C60" s="575" t="str">
        <f>MONTH(Table_NFI[[#This Row],[Distribution Date]]) &amp; "/" &amp; YEAR(Table_NFI[[#This Row],[Distribution Date]])</f>
        <v>5/2017</v>
      </c>
      <c r="D60" s="213" t="s">
        <v>420</v>
      </c>
      <c r="E60" s="213" t="s">
        <v>462</v>
      </c>
      <c r="F60" s="213" t="s">
        <v>378</v>
      </c>
      <c r="G60" s="213" t="s">
        <v>309</v>
      </c>
      <c r="H60" s="213" t="s">
        <v>342</v>
      </c>
      <c r="I60" s="197"/>
      <c r="J60" s="576"/>
      <c r="K60" s="576"/>
      <c r="L60" s="576">
        <v>1</v>
      </c>
      <c r="M60" s="576">
        <v>1</v>
      </c>
      <c r="N60" s="576">
        <v>2</v>
      </c>
      <c r="O60" s="576">
        <v>1</v>
      </c>
      <c r="P60" s="576">
        <v>2</v>
      </c>
      <c r="Q60" s="576">
        <v>1</v>
      </c>
      <c r="R60" s="576"/>
      <c r="S60" s="576">
        <v>1</v>
      </c>
      <c r="T60" s="576">
        <v>3</v>
      </c>
      <c r="U60" s="576"/>
      <c r="V60" s="576"/>
      <c r="W60" s="576"/>
      <c r="X60" s="576"/>
      <c r="Y60" s="576"/>
      <c r="Z60" s="576"/>
      <c r="AA60" s="576"/>
      <c r="AB60" s="576"/>
      <c r="AC60" s="577"/>
      <c r="AD60" s="577"/>
      <c r="AE60" s="577"/>
      <c r="AF60" s="577"/>
      <c r="AG60" s="577"/>
      <c r="AH60" s="577"/>
      <c r="AI60" s="577"/>
      <c r="AJ60" s="577"/>
      <c r="AK60" s="577"/>
      <c r="AL60" s="577"/>
      <c r="AM60" s="577"/>
      <c r="AN60" s="577"/>
      <c r="AO60" s="577"/>
      <c r="AP60" s="577">
        <f>IF(Table_NFI[[#This Row],[Winter Clothes Adult]]+Table_NFI[[#This Row],[Winter Clothes Children]]+Table_NFI[[#This Row],[Winter Items Other]]+Table_NFI[[#This Row],[Winter Blanket]]&gt;0,1,0)</f>
        <v>0</v>
      </c>
      <c r="AQ60" s="577"/>
      <c r="AR60" s="577"/>
      <c r="AS60" s="577"/>
      <c r="AT60" s="220" t="str">
        <f>IFERROR(VLOOKUP(Table_NFI[[#This Row],[Location]],CL,2,0),"")</f>
        <v>MMR001CMP033</v>
      </c>
      <c r="AU60" s="197"/>
      <c r="AV60" s="197"/>
      <c r="DP60" s="569"/>
    </row>
    <row r="61" spans="2:120" ht="18.75" hidden="1" customHeight="1" x14ac:dyDescent="0.3">
      <c r="B61" s="575">
        <v>42860</v>
      </c>
      <c r="C61" s="575" t="str">
        <f>MONTH(Table_NFI[[#This Row],[Distribution Date]]) &amp; "/" &amp; YEAR(Table_NFI[[#This Row],[Distribution Date]])</f>
        <v>5/2017</v>
      </c>
      <c r="D61" s="213" t="s">
        <v>420</v>
      </c>
      <c r="E61" s="213" t="s">
        <v>462</v>
      </c>
      <c r="F61" s="213" t="s">
        <v>378</v>
      </c>
      <c r="G61" s="213" t="s">
        <v>309</v>
      </c>
      <c r="H61" s="213" t="s">
        <v>315</v>
      </c>
      <c r="I61" s="197"/>
      <c r="J61" s="576"/>
      <c r="K61" s="576"/>
      <c r="L61" s="576">
        <v>2</v>
      </c>
      <c r="M61" s="576">
        <v>2</v>
      </c>
      <c r="N61" s="576">
        <v>7</v>
      </c>
      <c r="O61" s="576">
        <v>6</v>
      </c>
      <c r="P61" s="576">
        <v>7</v>
      </c>
      <c r="Q61" s="576">
        <v>2</v>
      </c>
      <c r="R61" s="576"/>
      <c r="S61" s="576">
        <v>2</v>
      </c>
      <c r="T61" s="576">
        <v>9</v>
      </c>
      <c r="U61" s="576"/>
      <c r="V61" s="576"/>
      <c r="W61" s="576"/>
      <c r="X61" s="576"/>
      <c r="Y61" s="576"/>
      <c r="Z61" s="576"/>
      <c r="AA61" s="576"/>
      <c r="AB61" s="576"/>
      <c r="AC61" s="577"/>
      <c r="AD61" s="577"/>
      <c r="AE61" s="577"/>
      <c r="AF61" s="577"/>
      <c r="AG61" s="577"/>
      <c r="AH61" s="577"/>
      <c r="AI61" s="577"/>
      <c r="AJ61" s="577"/>
      <c r="AK61" s="577"/>
      <c r="AL61" s="577"/>
      <c r="AM61" s="577"/>
      <c r="AN61" s="577"/>
      <c r="AO61" s="577"/>
      <c r="AP61" s="577">
        <f>IF(Table_NFI[[#This Row],[Winter Clothes Adult]]+Table_NFI[[#This Row],[Winter Clothes Children]]+Table_NFI[[#This Row],[Winter Items Other]]+Table_NFI[[#This Row],[Winter Blanket]]&gt;0,1,0)</f>
        <v>0</v>
      </c>
      <c r="AQ61" s="577"/>
      <c r="AR61" s="577"/>
      <c r="AS61" s="577"/>
      <c r="AT61" s="220" t="str">
        <f>IFERROR(VLOOKUP(Table_NFI[[#This Row],[Location]],CL,2,0),"")</f>
        <v>MMR001CMP038</v>
      </c>
      <c r="AU61" s="197"/>
      <c r="AV61" s="197"/>
      <c r="DP61" s="569"/>
    </row>
    <row r="62" spans="2:120" ht="18.75" hidden="1" customHeight="1" x14ac:dyDescent="0.3">
      <c r="B62" s="575">
        <v>42865</v>
      </c>
      <c r="C62" s="575" t="str">
        <f>MONTH(Table_NFI[[#This Row],[Distribution Date]]) &amp; "/" &amp; YEAR(Table_NFI[[#This Row],[Distribution Date]])</f>
        <v>5/2017</v>
      </c>
      <c r="D62" s="213" t="s">
        <v>1264</v>
      </c>
      <c r="E62" s="213" t="s">
        <v>1264</v>
      </c>
      <c r="F62" s="213" t="s">
        <v>378</v>
      </c>
      <c r="G62" s="213" t="s">
        <v>5</v>
      </c>
      <c r="H62" s="213" t="s">
        <v>1277</v>
      </c>
      <c r="I62" s="197"/>
      <c r="J62" s="576"/>
      <c r="K62" s="576"/>
      <c r="L62" s="576"/>
      <c r="M62" s="576"/>
      <c r="N62" s="576">
        <v>54</v>
      </c>
      <c r="O62" s="576">
        <v>6</v>
      </c>
      <c r="P62" s="576">
        <v>108</v>
      </c>
      <c r="Q62" s="576">
        <v>54</v>
      </c>
      <c r="R62" s="576"/>
      <c r="S62" s="576"/>
      <c r="T62" s="576">
        <v>54</v>
      </c>
      <c r="U62" s="576"/>
      <c r="V62" s="576"/>
      <c r="W62" s="576"/>
      <c r="X62" s="576"/>
      <c r="Y62" s="576"/>
      <c r="Z62" s="576"/>
      <c r="AA62" s="576"/>
      <c r="AB62" s="576"/>
      <c r="AC62" s="577"/>
      <c r="AD62" s="577"/>
      <c r="AE62" s="577"/>
      <c r="AF62" s="577"/>
      <c r="AG62" s="577"/>
      <c r="AH62" s="577"/>
      <c r="AI62" s="577"/>
      <c r="AJ62" s="577"/>
      <c r="AK62" s="577"/>
      <c r="AL62" s="577"/>
      <c r="AM62" s="577"/>
      <c r="AN62" s="577"/>
      <c r="AO62" s="577"/>
      <c r="AP62" s="577">
        <f>IF(Table_NFI[[#This Row],[Winter Clothes Adult]]+Table_NFI[[#This Row],[Winter Clothes Children]]+Table_NFI[[#This Row],[Winter Items Other]]+Table_NFI[[#This Row],[Winter Blanket]]&gt;0,1,0)</f>
        <v>0</v>
      </c>
      <c r="AQ62" s="577"/>
      <c r="AR62" s="577"/>
      <c r="AS62" s="577"/>
      <c r="AT62" s="220" t="str">
        <f>IFERROR(VLOOKUP(Table_NFI[[#This Row],[Location]],CL,2,0),"")</f>
        <v/>
      </c>
      <c r="AU62" s="197" t="s">
        <v>1278</v>
      </c>
      <c r="AV62" s="197"/>
      <c r="DP62" s="569"/>
    </row>
    <row r="63" spans="2:120" ht="18.75" hidden="1" customHeight="1" x14ac:dyDescent="0.3">
      <c r="B63" s="575">
        <v>42867</v>
      </c>
      <c r="C63" s="575" t="str">
        <f>MONTH(Table_NFI[[#This Row],[Distribution Date]]) &amp; "/" &amp; YEAR(Table_NFI[[#This Row],[Distribution Date]])</f>
        <v>5/2017</v>
      </c>
      <c r="D63" s="212" t="s">
        <v>1264</v>
      </c>
      <c r="E63" s="213" t="s">
        <v>1264</v>
      </c>
      <c r="F63" s="213" t="s">
        <v>378</v>
      </c>
      <c r="G63" s="213" t="s">
        <v>151</v>
      </c>
      <c r="H63" s="212" t="s">
        <v>801</v>
      </c>
      <c r="I63" s="214"/>
      <c r="J63" s="576"/>
      <c r="K63" s="576"/>
      <c r="L63" s="576"/>
      <c r="M63" s="576"/>
      <c r="N63" s="576"/>
      <c r="O63" s="576"/>
      <c r="P63" s="576">
        <v>350</v>
      </c>
      <c r="Q63" s="576">
        <v>38</v>
      </c>
      <c r="R63" s="576"/>
      <c r="S63" s="576"/>
      <c r="T63" s="576">
        <v>175</v>
      </c>
      <c r="U63" s="576"/>
      <c r="V63" s="576"/>
      <c r="W63" s="576"/>
      <c r="X63" s="576"/>
      <c r="Y63" s="576"/>
      <c r="Z63" s="576"/>
      <c r="AA63" s="576"/>
      <c r="AB63" s="576"/>
      <c r="AC63" s="577"/>
      <c r="AD63" s="577"/>
      <c r="AE63" s="577"/>
      <c r="AF63" s="577"/>
      <c r="AG63" s="577"/>
      <c r="AH63" s="577"/>
      <c r="AI63" s="577"/>
      <c r="AJ63" s="577"/>
      <c r="AK63" s="577"/>
      <c r="AL63" s="577"/>
      <c r="AM63" s="577"/>
      <c r="AN63" s="577"/>
      <c r="AO63" s="577"/>
      <c r="AP63" s="577">
        <f>IF(Table_NFI[[#This Row],[Winter Clothes Adult]]+Table_NFI[[#This Row],[Winter Clothes Children]]+Table_NFI[[#This Row],[Winter Items Other]]+Table_NFI[[#This Row],[Winter Blanket]]&gt;0,1,0)</f>
        <v>0</v>
      </c>
      <c r="AQ63" s="577"/>
      <c r="AR63" s="577"/>
      <c r="AS63" s="577"/>
      <c r="AT63" s="220" t="str">
        <f>IFERROR(VLOOKUP(Table_NFI[[#This Row],[Location]],CL,2,0),"")</f>
        <v>MMR001CMP213</v>
      </c>
      <c r="AU63" s="214"/>
      <c r="AV63" s="197"/>
      <c r="DP63" s="569"/>
    </row>
    <row r="64" spans="2:120" ht="18.75" hidden="1" customHeight="1" x14ac:dyDescent="0.3">
      <c r="B64" s="575">
        <v>42880</v>
      </c>
      <c r="C64" s="575" t="str">
        <f>MONTH(Table_NFI[[#This Row],[Distribution Date]]) &amp; "/" &amp; YEAR(Table_NFI[[#This Row],[Distribution Date]])</f>
        <v>5/2017</v>
      </c>
      <c r="D64" s="212" t="s">
        <v>1264</v>
      </c>
      <c r="E64" s="213" t="s">
        <v>1264</v>
      </c>
      <c r="F64" s="212" t="s">
        <v>506</v>
      </c>
      <c r="G64" s="212" t="s">
        <v>719</v>
      </c>
      <c r="H64" s="212" t="s">
        <v>1060</v>
      </c>
      <c r="I64" s="214"/>
      <c r="J64" s="576"/>
      <c r="K64" s="576"/>
      <c r="L64" s="576"/>
      <c r="M64" s="576"/>
      <c r="N64" s="576">
        <v>57</v>
      </c>
      <c r="O64" s="576"/>
      <c r="P64" s="576"/>
      <c r="Q64" s="576">
        <v>57</v>
      </c>
      <c r="R64" s="576"/>
      <c r="S64" s="576"/>
      <c r="T64" s="576">
        <v>57</v>
      </c>
      <c r="U64" s="576"/>
      <c r="V64" s="576"/>
      <c r="W64" s="576"/>
      <c r="X64" s="576"/>
      <c r="Y64" s="576"/>
      <c r="Z64" s="576"/>
      <c r="AA64" s="576"/>
      <c r="AB64" s="576"/>
      <c r="AC64" s="577"/>
      <c r="AD64" s="577"/>
      <c r="AE64" s="577"/>
      <c r="AF64" s="577"/>
      <c r="AG64" s="577"/>
      <c r="AH64" s="577"/>
      <c r="AI64" s="577"/>
      <c r="AJ64" s="577"/>
      <c r="AK64" s="577"/>
      <c r="AL64" s="577"/>
      <c r="AM64" s="577"/>
      <c r="AN64" s="577"/>
      <c r="AO64" s="577"/>
      <c r="AP64" s="577">
        <f>IF(Table_NFI[[#This Row],[Winter Clothes Adult]]+Table_NFI[[#This Row],[Winter Clothes Children]]+Table_NFI[[#This Row],[Winter Items Other]]+Table_NFI[[#This Row],[Winter Blanket]]&gt;0,1,0)</f>
        <v>0</v>
      </c>
      <c r="AQ64" s="577"/>
      <c r="AR64" s="577"/>
      <c r="AS64" s="577"/>
      <c r="AT64" s="220" t="str">
        <f>IFERROR(VLOOKUP(Table_NFI[[#This Row],[Location]],CL,2,0),"")</f>
        <v>MMR015CMP218</v>
      </c>
      <c r="AU64" s="214" t="s">
        <v>1279</v>
      </c>
      <c r="AV64" s="197"/>
      <c r="DP64" s="569"/>
    </row>
    <row r="65" spans="2:120" ht="18.75" hidden="1" customHeight="1" x14ac:dyDescent="0.3">
      <c r="B65" s="575">
        <v>42881</v>
      </c>
      <c r="C65" s="575" t="str">
        <f>MONTH(Table_NFI[[#This Row],[Distribution Date]]) &amp; "/" &amp; YEAR(Table_NFI[[#This Row],[Distribution Date]])</f>
        <v>5/2017</v>
      </c>
      <c r="D65" s="212" t="s">
        <v>1264</v>
      </c>
      <c r="E65" s="213" t="s">
        <v>1264</v>
      </c>
      <c r="F65" s="212" t="s">
        <v>506</v>
      </c>
      <c r="G65" s="212" t="s">
        <v>146</v>
      </c>
      <c r="H65" s="212" t="s">
        <v>1233</v>
      </c>
      <c r="I65" s="212"/>
      <c r="J65" s="576"/>
      <c r="K65" s="576"/>
      <c r="L65" s="576"/>
      <c r="M65" s="576"/>
      <c r="N65" s="576">
        <v>46</v>
      </c>
      <c r="O65" s="576">
        <v>12</v>
      </c>
      <c r="P65" s="576">
        <v>92</v>
      </c>
      <c r="Q65" s="576">
        <v>46</v>
      </c>
      <c r="R65" s="576"/>
      <c r="S65" s="576"/>
      <c r="T65" s="576">
        <v>46</v>
      </c>
      <c r="U65" s="576"/>
      <c r="V65" s="576"/>
      <c r="W65" s="576"/>
      <c r="X65" s="576"/>
      <c r="Y65" s="576"/>
      <c r="Z65" s="576"/>
      <c r="AA65" s="576"/>
      <c r="AB65" s="576"/>
      <c r="AC65" s="577"/>
      <c r="AD65" s="577"/>
      <c r="AE65" s="577"/>
      <c r="AF65" s="577"/>
      <c r="AG65" s="577"/>
      <c r="AH65" s="577"/>
      <c r="AI65" s="577"/>
      <c r="AJ65" s="577"/>
      <c r="AK65" s="577"/>
      <c r="AL65" s="577"/>
      <c r="AM65" s="577"/>
      <c r="AN65" s="577"/>
      <c r="AO65" s="577"/>
      <c r="AP65" s="577">
        <f>IF(Table_NFI[[#This Row],[Winter Clothes Adult]]+Table_NFI[[#This Row],[Winter Clothes Children]]+Table_NFI[[#This Row],[Winter Items Other]]+Table_NFI[[#This Row],[Winter Blanket]]&gt;0,1,0)</f>
        <v>0</v>
      </c>
      <c r="AQ65" s="577"/>
      <c r="AR65" s="577"/>
      <c r="AS65" s="577"/>
      <c r="AT65" s="220" t="str">
        <f>IFERROR(VLOOKUP(Table_NFI[[#This Row],[Location]],CL,2,0),"")</f>
        <v>MMR015CMP245</v>
      </c>
      <c r="AU65" s="214" t="s">
        <v>1279</v>
      </c>
      <c r="AV65" s="197"/>
      <c r="DP65" s="569"/>
    </row>
    <row r="66" spans="2:120" ht="18.75" hidden="1" customHeight="1" x14ac:dyDescent="0.3">
      <c r="B66" s="575">
        <v>42882</v>
      </c>
      <c r="C66" s="575" t="str">
        <f>MONTH(Table_NFI[[#This Row],[Distribution Date]]) &amp; "/" &amp; YEAR(Table_NFI[[#This Row],[Distribution Date]])</f>
        <v>5/2017</v>
      </c>
      <c r="D66" s="213" t="s">
        <v>1264</v>
      </c>
      <c r="E66" s="213" t="s">
        <v>1264</v>
      </c>
      <c r="F66" s="213" t="s">
        <v>506</v>
      </c>
      <c r="G66" s="213" t="s">
        <v>146</v>
      </c>
      <c r="H66" s="212" t="s">
        <v>1242</v>
      </c>
      <c r="I66" s="212"/>
      <c r="J66" s="576"/>
      <c r="K66" s="576"/>
      <c r="L66" s="576"/>
      <c r="M66" s="576"/>
      <c r="N66" s="576">
        <v>24</v>
      </c>
      <c r="O66" s="576">
        <v>9</v>
      </c>
      <c r="P66" s="576">
        <v>48</v>
      </c>
      <c r="Q66" s="576">
        <v>24</v>
      </c>
      <c r="R66" s="576"/>
      <c r="S66" s="576"/>
      <c r="T66" s="576">
        <v>24</v>
      </c>
      <c r="U66" s="576"/>
      <c r="V66" s="576"/>
      <c r="W66" s="576"/>
      <c r="X66" s="576"/>
      <c r="Y66" s="576"/>
      <c r="Z66" s="576"/>
      <c r="AA66" s="576"/>
      <c r="AB66" s="576"/>
      <c r="AC66" s="577"/>
      <c r="AD66" s="577"/>
      <c r="AE66" s="577"/>
      <c r="AF66" s="577"/>
      <c r="AG66" s="577"/>
      <c r="AH66" s="577"/>
      <c r="AI66" s="577"/>
      <c r="AJ66" s="577"/>
      <c r="AK66" s="577"/>
      <c r="AL66" s="577"/>
      <c r="AM66" s="577"/>
      <c r="AN66" s="577"/>
      <c r="AO66" s="577"/>
      <c r="AP66" s="577">
        <f>IF(Table_NFI[[#This Row],[Winter Clothes Adult]]+Table_NFI[[#This Row],[Winter Clothes Children]]+Table_NFI[[#This Row],[Winter Items Other]]+Table_NFI[[#This Row],[Winter Blanket]]&gt;0,1,0)</f>
        <v>0</v>
      </c>
      <c r="AQ66" s="577"/>
      <c r="AR66" s="577"/>
      <c r="AS66" s="577"/>
      <c r="AT66" s="220" t="str">
        <f>IFERROR(VLOOKUP(Table_NFI[[#This Row],[Location]],CL,2,0),"")</f>
        <v>MMR015CMP246</v>
      </c>
      <c r="AU66" s="214" t="s">
        <v>1279</v>
      </c>
      <c r="AV66" s="197"/>
      <c r="DP66" s="569"/>
    </row>
    <row r="67" spans="2:120" ht="18.75" hidden="1" customHeight="1" x14ac:dyDescent="0.3">
      <c r="B67" s="575">
        <v>42882</v>
      </c>
      <c r="C67" s="575" t="str">
        <f>MONTH(Table_NFI[[#This Row],[Distribution Date]]) &amp; "/" &amp; YEAR(Table_NFI[[#This Row],[Distribution Date]])</f>
        <v>5/2017</v>
      </c>
      <c r="D67" s="213" t="s">
        <v>1264</v>
      </c>
      <c r="E67" s="213" t="s">
        <v>1264</v>
      </c>
      <c r="F67" s="213" t="s">
        <v>506</v>
      </c>
      <c r="G67" s="213" t="s">
        <v>146</v>
      </c>
      <c r="H67" s="212" t="s">
        <v>1233</v>
      </c>
      <c r="I67" s="214"/>
      <c r="J67" s="576"/>
      <c r="K67" s="576"/>
      <c r="L67" s="576"/>
      <c r="M67" s="576"/>
      <c r="N67" s="576"/>
      <c r="O67" s="576">
        <v>24</v>
      </c>
      <c r="P67" s="576"/>
      <c r="Q67" s="576"/>
      <c r="R67" s="576"/>
      <c r="S67" s="576"/>
      <c r="T67" s="576"/>
      <c r="U67" s="576"/>
      <c r="V67" s="576"/>
      <c r="W67" s="576"/>
      <c r="X67" s="576"/>
      <c r="Y67" s="576"/>
      <c r="Z67" s="576"/>
      <c r="AA67" s="576"/>
      <c r="AB67" s="576"/>
      <c r="AC67" s="577"/>
      <c r="AD67" s="577"/>
      <c r="AE67" s="577"/>
      <c r="AF67" s="577"/>
      <c r="AG67" s="577"/>
      <c r="AH67" s="577"/>
      <c r="AI67" s="577"/>
      <c r="AJ67" s="577"/>
      <c r="AK67" s="577"/>
      <c r="AL67" s="577"/>
      <c r="AM67" s="577"/>
      <c r="AN67" s="577"/>
      <c r="AO67" s="577"/>
      <c r="AP67" s="577">
        <f>IF(Table_NFI[[#This Row],[Winter Clothes Adult]]+Table_NFI[[#This Row],[Winter Clothes Children]]+Table_NFI[[#This Row],[Winter Items Other]]+Table_NFI[[#This Row],[Winter Blanket]]&gt;0,1,0)</f>
        <v>0</v>
      </c>
      <c r="AQ67" s="577"/>
      <c r="AR67" s="577"/>
      <c r="AS67" s="577"/>
      <c r="AT67" s="220" t="str">
        <f>IFERROR(VLOOKUP(Table_NFI[[#This Row],[Location]],CL,2,0),"")</f>
        <v>MMR015CMP245</v>
      </c>
      <c r="AU67" s="214"/>
      <c r="AV67" s="197"/>
      <c r="DP67" s="569"/>
    </row>
    <row r="68" spans="2:120" ht="18.75" hidden="1" customHeight="1" x14ac:dyDescent="0.3">
      <c r="B68" s="575">
        <v>42883</v>
      </c>
      <c r="C68" s="575" t="str">
        <f>MONTH(Table_NFI[[#This Row],[Distribution Date]]) &amp; "/" &amp; YEAR(Table_NFI[[#This Row],[Distribution Date]])</f>
        <v>5/2017</v>
      </c>
      <c r="D68" s="213" t="s">
        <v>1264</v>
      </c>
      <c r="E68" s="213" t="s">
        <v>1264</v>
      </c>
      <c r="F68" s="213" t="s">
        <v>506</v>
      </c>
      <c r="G68" s="213" t="s">
        <v>146</v>
      </c>
      <c r="H68" s="212" t="s">
        <v>1129</v>
      </c>
      <c r="I68" s="212"/>
      <c r="J68" s="576"/>
      <c r="K68" s="576"/>
      <c r="L68" s="576"/>
      <c r="M68" s="576"/>
      <c r="N68" s="576">
        <v>143</v>
      </c>
      <c r="O68" s="576">
        <v>62</v>
      </c>
      <c r="P68" s="576">
        <v>286</v>
      </c>
      <c r="Q68" s="576">
        <v>143</v>
      </c>
      <c r="R68" s="576"/>
      <c r="S68" s="576"/>
      <c r="T68" s="576">
        <v>143</v>
      </c>
      <c r="U68" s="576"/>
      <c r="V68" s="576"/>
      <c r="W68" s="576"/>
      <c r="X68" s="576"/>
      <c r="Y68" s="576"/>
      <c r="Z68" s="576"/>
      <c r="AA68" s="576"/>
      <c r="AB68" s="576"/>
      <c r="AC68" s="577"/>
      <c r="AD68" s="577"/>
      <c r="AE68" s="577"/>
      <c r="AF68" s="577"/>
      <c r="AG68" s="577"/>
      <c r="AH68" s="577"/>
      <c r="AI68" s="577"/>
      <c r="AJ68" s="577"/>
      <c r="AK68" s="577"/>
      <c r="AL68" s="577"/>
      <c r="AM68" s="577"/>
      <c r="AN68" s="577"/>
      <c r="AO68" s="577"/>
      <c r="AP68" s="577">
        <f>IF(Table_NFI[[#This Row],[Winter Clothes Adult]]+Table_NFI[[#This Row],[Winter Clothes Children]]+Table_NFI[[#This Row],[Winter Items Other]]+Table_NFI[[#This Row],[Winter Blanket]]&gt;0,1,0)</f>
        <v>0</v>
      </c>
      <c r="AQ68" s="577"/>
      <c r="AR68" s="577"/>
      <c r="AS68" s="577"/>
      <c r="AT68" s="220" t="str">
        <f>IFERROR(VLOOKUP(Table_NFI[[#This Row],[Location]],CL,2,0),"")</f>
        <v/>
      </c>
      <c r="AU68" s="214" t="s">
        <v>1279</v>
      </c>
      <c r="AV68" s="197"/>
      <c r="DP68" s="569"/>
    </row>
    <row r="69" spans="2:120" ht="18.75" hidden="1" customHeight="1" x14ac:dyDescent="0.3">
      <c r="B69" s="575">
        <v>42885</v>
      </c>
      <c r="C69" s="575" t="str">
        <f>MONTH(Table_NFI[[#This Row],[Distribution Date]]) &amp; "/" &amp; YEAR(Table_NFI[[#This Row],[Distribution Date]])</f>
        <v>5/2017</v>
      </c>
      <c r="D69" s="213" t="s">
        <v>1264</v>
      </c>
      <c r="E69" s="213" t="s">
        <v>1264</v>
      </c>
      <c r="F69" s="213" t="s">
        <v>506</v>
      </c>
      <c r="G69" s="213" t="s">
        <v>297</v>
      </c>
      <c r="H69" s="212" t="s">
        <v>759</v>
      </c>
      <c r="I69" s="212"/>
      <c r="J69" s="576"/>
      <c r="K69" s="576"/>
      <c r="L69" s="576"/>
      <c r="M69" s="576"/>
      <c r="N69" s="576">
        <v>46</v>
      </c>
      <c r="O69" s="576">
        <v>9</v>
      </c>
      <c r="P69" s="576">
        <v>46</v>
      </c>
      <c r="Q69" s="576">
        <v>46</v>
      </c>
      <c r="R69" s="576"/>
      <c r="S69" s="576"/>
      <c r="T69" s="576">
        <v>46</v>
      </c>
      <c r="U69" s="576"/>
      <c r="V69" s="576"/>
      <c r="W69" s="576"/>
      <c r="X69" s="576"/>
      <c r="Y69" s="576"/>
      <c r="Z69" s="576"/>
      <c r="AA69" s="576"/>
      <c r="AB69" s="576"/>
      <c r="AC69" s="577"/>
      <c r="AD69" s="577"/>
      <c r="AE69" s="577"/>
      <c r="AF69" s="577"/>
      <c r="AG69" s="577"/>
      <c r="AH69" s="577"/>
      <c r="AI69" s="577"/>
      <c r="AJ69" s="577"/>
      <c r="AK69" s="577"/>
      <c r="AL69" s="577"/>
      <c r="AM69" s="577"/>
      <c r="AN69" s="577"/>
      <c r="AO69" s="577"/>
      <c r="AP69" s="577">
        <f>IF(Table_NFI[[#This Row],[Winter Clothes Adult]]+Table_NFI[[#This Row],[Winter Clothes Children]]+Table_NFI[[#This Row],[Winter Items Other]]+Table_NFI[[#This Row],[Winter Blanket]]&gt;0,1,0)</f>
        <v>0</v>
      </c>
      <c r="AQ69" s="577"/>
      <c r="AR69" s="577"/>
      <c r="AS69" s="577"/>
      <c r="AT69" s="220" t="str">
        <f>IFERROR(VLOOKUP(Table_NFI[[#This Row],[Location]],CL,2,0),"")</f>
        <v>MMR015CMP014</v>
      </c>
      <c r="AU69" s="214" t="s">
        <v>1279</v>
      </c>
      <c r="AV69" s="197"/>
      <c r="DP69" s="569"/>
    </row>
    <row r="70" spans="2:120" ht="18.75" hidden="1" customHeight="1" x14ac:dyDescent="0.3">
      <c r="B70" s="575">
        <v>42885</v>
      </c>
      <c r="C70" s="575" t="str">
        <f>MONTH(Table_NFI[[#This Row],[Distribution Date]]) &amp; "/" &amp; YEAR(Table_NFI[[#This Row],[Distribution Date]])</f>
        <v>5/2017</v>
      </c>
      <c r="D70" s="213" t="s">
        <v>1264</v>
      </c>
      <c r="E70" s="213" t="s">
        <v>1264</v>
      </c>
      <c r="F70" s="213" t="s">
        <v>506</v>
      </c>
      <c r="G70" s="213" t="s">
        <v>297</v>
      </c>
      <c r="H70" s="212" t="s">
        <v>1192</v>
      </c>
      <c r="I70" s="212"/>
      <c r="J70" s="576"/>
      <c r="K70" s="576"/>
      <c r="L70" s="576"/>
      <c r="M70" s="576"/>
      <c r="N70" s="576">
        <v>25</v>
      </c>
      <c r="O70" s="576">
        <v>5</v>
      </c>
      <c r="P70" s="576">
        <v>25</v>
      </c>
      <c r="Q70" s="576">
        <v>25</v>
      </c>
      <c r="R70" s="576"/>
      <c r="S70" s="576"/>
      <c r="T70" s="576">
        <v>25</v>
      </c>
      <c r="U70" s="576"/>
      <c r="V70" s="576"/>
      <c r="W70" s="576"/>
      <c r="X70" s="576"/>
      <c r="Y70" s="576"/>
      <c r="Z70" s="576"/>
      <c r="AA70" s="576"/>
      <c r="AB70" s="576"/>
      <c r="AC70" s="577"/>
      <c r="AD70" s="577"/>
      <c r="AE70" s="577"/>
      <c r="AF70" s="577"/>
      <c r="AG70" s="577"/>
      <c r="AH70" s="577"/>
      <c r="AI70" s="577"/>
      <c r="AJ70" s="577"/>
      <c r="AK70" s="577"/>
      <c r="AL70" s="577"/>
      <c r="AM70" s="577"/>
      <c r="AN70" s="577"/>
      <c r="AO70" s="577"/>
      <c r="AP70" s="577">
        <f>IF(Table_NFI[[#This Row],[Winter Clothes Adult]]+Table_NFI[[#This Row],[Winter Clothes Children]]+Table_NFI[[#This Row],[Winter Items Other]]+Table_NFI[[#This Row],[Winter Blanket]]&gt;0,1,0)</f>
        <v>0</v>
      </c>
      <c r="AQ70" s="577"/>
      <c r="AR70" s="577"/>
      <c r="AS70" s="577"/>
      <c r="AT70" s="220" t="str">
        <f>IFERROR(VLOOKUP(Table_NFI[[#This Row],[Location]],CL,2,0),"")</f>
        <v>MMR015CMP232</v>
      </c>
      <c r="AU70" s="214" t="s">
        <v>1279</v>
      </c>
      <c r="AV70" s="197"/>
      <c r="DP70" s="569"/>
    </row>
    <row r="71" spans="2:120" ht="18.75" hidden="1" customHeight="1" x14ac:dyDescent="0.3">
      <c r="B71" s="575">
        <v>42885</v>
      </c>
      <c r="C71" s="575" t="str">
        <f>MONTH(Table_NFI[[#This Row],[Distribution Date]]) &amp; "/" &amp; YEAR(Table_NFI[[#This Row],[Distribution Date]])</f>
        <v>5/2017</v>
      </c>
      <c r="D71" s="213" t="s">
        <v>1264</v>
      </c>
      <c r="E71" s="213" t="s">
        <v>1264</v>
      </c>
      <c r="F71" s="213" t="s">
        <v>506</v>
      </c>
      <c r="G71" s="213" t="s">
        <v>297</v>
      </c>
      <c r="H71" s="212" t="s">
        <v>1138</v>
      </c>
      <c r="I71" s="212"/>
      <c r="J71" s="576"/>
      <c r="K71" s="576"/>
      <c r="L71" s="576"/>
      <c r="M71" s="576"/>
      <c r="N71" s="576">
        <v>16</v>
      </c>
      <c r="O71" s="576">
        <v>3</v>
      </c>
      <c r="P71" s="576">
        <v>16</v>
      </c>
      <c r="Q71" s="576">
        <v>16</v>
      </c>
      <c r="R71" s="576"/>
      <c r="S71" s="576"/>
      <c r="T71" s="576">
        <v>16</v>
      </c>
      <c r="U71" s="576"/>
      <c r="V71" s="576"/>
      <c r="W71" s="576"/>
      <c r="X71" s="576"/>
      <c r="Y71" s="576"/>
      <c r="Z71" s="576"/>
      <c r="AA71" s="576"/>
      <c r="AB71" s="576"/>
      <c r="AC71" s="577"/>
      <c r="AD71" s="577"/>
      <c r="AE71" s="577"/>
      <c r="AF71" s="577"/>
      <c r="AG71" s="577"/>
      <c r="AH71" s="577"/>
      <c r="AI71" s="577"/>
      <c r="AJ71" s="577"/>
      <c r="AK71" s="577"/>
      <c r="AL71" s="577"/>
      <c r="AM71" s="577"/>
      <c r="AN71" s="577"/>
      <c r="AO71" s="577"/>
      <c r="AP71" s="577">
        <f>IF(Table_NFI[[#This Row],[Winter Clothes Adult]]+Table_NFI[[#This Row],[Winter Clothes Children]]+Table_NFI[[#This Row],[Winter Items Other]]+Table_NFI[[#This Row],[Winter Blanket]]&gt;0,1,0)</f>
        <v>0</v>
      </c>
      <c r="AQ71" s="577"/>
      <c r="AR71" s="577"/>
      <c r="AS71" s="577"/>
      <c r="AT71" s="220" t="str">
        <f>IFERROR(VLOOKUP(Table_NFI[[#This Row],[Location]],CL,2,0),"")</f>
        <v>MMR015CMP221</v>
      </c>
      <c r="AU71" s="214" t="s">
        <v>1279</v>
      </c>
      <c r="AV71" s="197"/>
      <c r="DP71" s="569"/>
    </row>
    <row r="72" spans="2:120" ht="18.75" hidden="1" customHeight="1" x14ac:dyDescent="0.3">
      <c r="B72" s="575">
        <v>42885</v>
      </c>
      <c r="C72" s="575" t="str">
        <f>MONTH(Table_NFI[[#This Row],[Distribution Date]]) &amp; "/" &amp; YEAR(Table_NFI[[#This Row],[Distribution Date]])</f>
        <v>5/2017</v>
      </c>
      <c r="D72" s="213" t="s">
        <v>1264</v>
      </c>
      <c r="E72" s="213" t="s">
        <v>1264</v>
      </c>
      <c r="F72" s="213" t="s">
        <v>506</v>
      </c>
      <c r="G72" s="213" t="s">
        <v>297</v>
      </c>
      <c r="H72" s="212" t="s">
        <v>1281</v>
      </c>
      <c r="I72" s="212"/>
      <c r="J72" s="576"/>
      <c r="K72" s="576"/>
      <c r="L72" s="576"/>
      <c r="M72" s="576"/>
      <c r="N72" s="576">
        <v>60</v>
      </c>
      <c r="O72" s="576"/>
      <c r="P72" s="576">
        <v>60</v>
      </c>
      <c r="Q72" s="576">
        <v>60</v>
      </c>
      <c r="R72" s="576"/>
      <c r="S72" s="576"/>
      <c r="T72" s="576">
        <v>60</v>
      </c>
      <c r="U72" s="576"/>
      <c r="V72" s="576"/>
      <c r="W72" s="576"/>
      <c r="X72" s="576"/>
      <c r="Y72" s="576"/>
      <c r="Z72" s="576"/>
      <c r="AA72" s="576"/>
      <c r="AB72" s="576"/>
      <c r="AC72" s="577"/>
      <c r="AD72" s="577"/>
      <c r="AE72" s="577"/>
      <c r="AF72" s="577"/>
      <c r="AG72" s="577"/>
      <c r="AH72" s="577"/>
      <c r="AI72" s="577"/>
      <c r="AJ72" s="577"/>
      <c r="AK72" s="577"/>
      <c r="AL72" s="577"/>
      <c r="AM72" s="577"/>
      <c r="AN72" s="577"/>
      <c r="AO72" s="577"/>
      <c r="AP72" s="577">
        <f>IF(Table_NFI[[#This Row],[Winter Clothes Adult]]+Table_NFI[[#This Row],[Winter Clothes Children]]+Table_NFI[[#This Row],[Winter Items Other]]+Table_NFI[[#This Row],[Winter Blanket]]&gt;0,1,0)</f>
        <v>0</v>
      </c>
      <c r="AQ72" s="577"/>
      <c r="AR72" s="577"/>
      <c r="AS72" s="577"/>
      <c r="AT72" s="220" t="str">
        <f>IFERROR(VLOOKUP(Table_NFI[[#This Row],[Location]],CL,2,0),"")</f>
        <v>MMR015CMP248</v>
      </c>
      <c r="AU72" s="214" t="s">
        <v>1279</v>
      </c>
      <c r="AV72" s="197"/>
      <c r="DP72" s="569"/>
    </row>
    <row r="73" spans="2:120" ht="18.75" hidden="1" customHeight="1" x14ac:dyDescent="0.3">
      <c r="B73" s="581">
        <v>42893</v>
      </c>
      <c r="C73" s="581" t="str">
        <f>MONTH(Table_NFI[[#This Row],[Distribution Date]]) &amp; "/" &amp; YEAR(Table_NFI[[#This Row],[Distribution Date]])</f>
        <v>6/2017</v>
      </c>
      <c r="D73" s="579" t="s">
        <v>1264</v>
      </c>
      <c r="E73" s="579" t="s">
        <v>424</v>
      </c>
      <c r="F73" s="579" t="s">
        <v>378</v>
      </c>
      <c r="G73" s="579" t="s">
        <v>5</v>
      </c>
      <c r="H73" s="579" t="s">
        <v>12</v>
      </c>
      <c r="I73" s="582"/>
      <c r="J73" s="583"/>
      <c r="K73" s="583"/>
      <c r="L73" s="583"/>
      <c r="M73" s="583"/>
      <c r="N73" s="583">
        <v>79</v>
      </c>
      <c r="O73" s="583"/>
      <c r="P73" s="583">
        <v>158</v>
      </c>
      <c r="Q73" s="583">
        <v>79</v>
      </c>
      <c r="R73" s="583"/>
      <c r="S73" s="583"/>
      <c r="T73" s="583">
        <v>79</v>
      </c>
      <c r="U73" s="583"/>
      <c r="V73" s="583"/>
      <c r="W73" s="583"/>
      <c r="X73" s="583"/>
      <c r="Y73" s="583"/>
      <c r="Z73" s="583"/>
      <c r="AA73" s="583"/>
      <c r="AB73" s="583"/>
      <c r="AC73" s="584"/>
      <c r="AD73" s="584"/>
      <c r="AE73" s="584"/>
      <c r="AF73" s="584"/>
      <c r="AG73" s="584"/>
      <c r="AH73" s="584"/>
      <c r="AI73" s="584"/>
      <c r="AJ73" s="584"/>
      <c r="AK73" s="584"/>
      <c r="AL73" s="584"/>
      <c r="AM73" s="584"/>
      <c r="AN73" s="584"/>
      <c r="AO73" s="584"/>
      <c r="AP73" s="584">
        <f>IF(Table_NFI[[#This Row],[Winter Clothes Adult]]+Table_NFI[[#This Row],[Winter Clothes Children]]+Table_NFI[[#This Row],[Winter Items Other]]+Table_NFI[[#This Row],[Winter Blanket]]&gt;0,1,0)</f>
        <v>0</v>
      </c>
      <c r="AQ73" s="584"/>
      <c r="AR73" s="584"/>
      <c r="AS73" s="584"/>
      <c r="AT73" s="585" t="str">
        <f>IFERROR(VLOOKUP(Table_NFI[[#This Row],[Location]],CL,2,0),"")</f>
        <v>MMR001CMP163</v>
      </c>
      <c r="AU73" s="586"/>
      <c r="AV73" s="197"/>
      <c r="DP73" s="569"/>
    </row>
    <row r="74" spans="2:120" ht="18.75" hidden="1" customHeight="1" x14ac:dyDescent="0.3">
      <c r="B74" s="581">
        <v>42900</v>
      </c>
      <c r="C74" s="581" t="str">
        <f>MONTH(Table_NFI[[#This Row],[Distribution Date]]) &amp; "/" &amp; YEAR(Table_NFI[[#This Row],[Distribution Date]])</f>
        <v>6/2017</v>
      </c>
      <c r="D74" s="579" t="s">
        <v>1264</v>
      </c>
      <c r="E74" s="579" t="s">
        <v>424</v>
      </c>
      <c r="F74" s="213" t="s">
        <v>378</v>
      </c>
      <c r="G74" s="213" t="s">
        <v>151</v>
      </c>
      <c r="H74" s="579" t="s">
        <v>911</v>
      </c>
      <c r="I74" s="582"/>
      <c r="J74" s="583"/>
      <c r="K74" s="583"/>
      <c r="L74" s="583"/>
      <c r="M74" s="583"/>
      <c r="N74" s="583">
        <v>143</v>
      </c>
      <c r="O74" s="583"/>
      <c r="P74" s="583">
        <v>27</v>
      </c>
      <c r="Q74" s="583">
        <v>83</v>
      </c>
      <c r="R74" s="583"/>
      <c r="S74" s="583"/>
      <c r="T74" s="583">
        <v>143</v>
      </c>
      <c r="U74" s="583"/>
      <c r="V74" s="583"/>
      <c r="W74" s="583"/>
      <c r="X74" s="583"/>
      <c r="Y74" s="583"/>
      <c r="Z74" s="583">
        <v>167</v>
      </c>
      <c r="AA74" s="583"/>
      <c r="AB74" s="583"/>
      <c r="AC74" s="584"/>
      <c r="AD74" s="584"/>
      <c r="AE74" s="584"/>
      <c r="AF74" s="584"/>
      <c r="AG74" s="584"/>
      <c r="AH74" s="584"/>
      <c r="AI74" s="584"/>
      <c r="AJ74" s="584"/>
      <c r="AK74" s="584"/>
      <c r="AL74" s="584"/>
      <c r="AM74" s="584"/>
      <c r="AN74" s="584"/>
      <c r="AO74" s="584"/>
      <c r="AP74" s="584">
        <f>IF(Table_NFI[[#This Row],[Winter Clothes Adult]]+Table_NFI[[#This Row],[Winter Clothes Children]]+Table_NFI[[#This Row],[Winter Items Other]]+Table_NFI[[#This Row],[Winter Blanket]]&gt;0,1,0)</f>
        <v>0</v>
      </c>
      <c r="AQ74" s="584"/>
      <c r="AR74" s="584"/>
      <c r="AS74" s="584"/>
      <c r="AT74" s="585" t="str">
        <f>IFERROR(VLOOKUP(Table_NFI[[#This Row],[Location]],CL,2,0),"")</f>
        <v>MMR001CMP228</v>
      </c>
      <c r="AU74" s="586"/>
      <c r="AV74" s="197"/>
      <c r="DP74" s="569"/>
    </row>
    <row r="75" spans="2:120" ht="18.75" hidden="1" customHeight="1" x14ac:dyDescent="0.3">
      <c r="B75" s="581">
        <v>42900</v>
      </c>
      <c r="C75" s="581" t="str">
        <f>MONTH(Table_NFI[[#This Row],[Distribution Date]]) &amp; "/" &amp; YEAR(Table_NFI[[#This Row],[Distribution Date]])</f>
        <v>6/2017</v>
      </c>
      <c r="D75" s="579" t="s">
        <v>1264</v>
      </c>
      <c r="E75" s="579" t="s">
        <v>424</v>
      </c>
      <c r="F75" s="213" t="s">
        <v>378</v>
      </c>
      <c r="G75" s="213" t="s">
        <v>151</v>
      </c>
      <c r="H75" s="579" t="s">
        <v>160</v>
      </c>
      <c r="I75" s="582"/>
      <c r="J75" s="583"/>
      <c r="K75" s="583"/>
      <c r="L75" s="583"/>
      <c r="M75" s="583"/>
      <c r="N75" s="583">
        <v>40</v>
      </c>
      <c r="O75" s="583"/>
      <c r="P75" s="583"/>
      <c r="Q75" s="583"/>
      <c r="R75" s="583"/>
      <c r="S75" s="583"/>
      <c r="T75" s="583">
        <v>39</v>
      </c>
      <c r="U75" s="583"/>
      <c r="V75" s="583"/>
      <c r="W75" s="583"/>
      <c r="X75" s="583"/>
      <c r="Y75" s="583"/>
      <c r="Z75" s="583">
        <v>139</v>
      </c>
      <c r="AA75" s="583"/>
      <c r="AB75" s="583"/>
      <c r="AC75" s="584"/>
      <c r="AD75" s="584"/>
      <c r="AE75" s="584"/>
      <c r="AF75" s="584"/>
      <c r="AG75" s="584"/>
      <c r="AH75" s="584"/>
      <c r="AI75" s="584"/>
      <c r="AJ75" s="584"/>
      <c r="AK75" s="584"/>
      <c r="AL75" s="584"/>
      <c r="AM75" s="584"/>
      <c r="AN75" s="584"/>
      <c r="AO75" s="584"/>
      <c r="AP75" s="584">
        <f>IF(Table_NFI[[#This Row],[Winter Clothes Adult]]+Table_NFI[[#This Row],[Winter Clothes Children]]+Table_NFI[[#This Row],[Winter Items Other]]+Table_NFI[[#This Row],[Winter Blanket]]&gt;0,1,0)</f>
        <v>0</v>
      </c>
      <c r="AQ75" s="584"/>
      <c r="AR75" s="584"/>
      <c r="AS75" s="584"/>
      <c r="AT75" s="585" t="str">
        <f>IFERROR(VLOOKUP(Table_NFI[[#This Row],[Location]],CL,2,0),"")</f>
        <v>MMR001CMP133</v>
      </c>
      <c r="AU75" s="586"/>
      <c r="AV75" s="197"/>
      <c r="DP75" s="569"/>
    </row>
    <row r="76" spans="2:120" ht="18.75" hidden="1" customHeight="1" x14ac:dyDescent="0.3">
      <c r="B76" s="587">
        <v>42903</v>
      </c>
      <c r="C76" s="587" t="str">
        <f>MONTH(Table_NFI[[#This Row],[Distribution Date]]) &amp; "/" &amp; YEAR(Table_NFI[[#This Row],[Distribution Date]])</f>
        <v>6/2017</v>
      </c>
      <c r="D76" s="579" t="s">
        <v>778</v>
      </c>
      <c r="E76" s="213"/>
      <c r="F76" s="213" t="s">
        <v>378</v>
      </c>
      <c r="G76" s="213" t="s">
        <v>1137</v>
      </c>
      <c r="H76" s="212" t="s">
        <v>1137</v>
      </c>
      <c r="I76" s="582">
        <v>288</v>
      </c>
      <c r="J76" s="583"/>
      <c r="K76" s="583"/>
      <c r="L76" s="583"/>
      <c r="M76" s="583"/>
      <c r="N76" s="583"/>
      <c r="O76" s="583"/>
      <c r="P76" s="583"/>
      <c r="Q76" s="583"/>
      <c r="R76" s="583"/>
      <c r="S76" s="583"/>
      <c r="T76" s="583"/>
      <c r="U76" s="583"/>
      <c r="V76" s="583"/>
      <c r="W76" s="583"/>
      <c r="X76" s="583"/>
      <c r="Y76" s="583"/>
      <c r="Z76" s="583"/>
      <c r="AA76" s="583"/>
      <c r="AB76" s="583"/>
      <c r="AC76" s="584"/>
      <c r="AD76" s="584"/>
      <c r="AE76" s="584"/>
      <c r="AF76" s="584"/>
      <c r="AG76" s="584"/>
      <c r="AH76" s="584"/>
      <c r="AI76" s="584"/>
      <c r="AJ76" s="584"/>
      <c r="AK76" s="584"/>
      <c r="AL76" s="584"/>
      <c r="AM76" s="584"/>
      <c r="AN76" s="584"/>
      <c r="AO76" s="584"/>
      <c r="AP76" s="584">
        <f>IF(Table_NFI[[#This Row],[Winter Clothes Adult]]+Table_NFI[[#This Row],[Winter Clothes Children]]+Table_NFI[[#This Row],[Winter Items Other]]+Table_NFI[[#This Row],[Winter Blanket]]&gt;0,1,0)</f>
        <v>0</v>
      </c>
      <c r="AQ76" s="584"/>
      <c r="AR76" s="584"/>
      <c r="AS76" s="584"/>
      <c r="AT76" s="585" t="str">
        <f>IFERROR(VLOOKUP(Table_NFI[[#This Row],[Location]],CL,2,0),"")</f>
        <v/>
      </c>
      <c r="AU76" s="579" t="s">
        <v>1389</v>
      </c>
      <c r="AV76" s="197"/>
      <c r="DP76" s="569"/>
    </row>
    <row r="77" spans="2:120" ht="18.75" hidden="1" customHeight="1" x14ac:dyDescent="0.3">
      <c r="B77" s="587">
        <v>42903</v>
      </c>
      <c r="C77" s="587" t="str">
        <f>MONTH(Table_NFI[[#This Row],[Distribution Date]]) &amp; "/" &amp; YEAR(Table_NFI[[#This Row],[Distribution Date]])</f>
        <v>6/2017</v>
      </c>
      <c r="D77" s="213" t="s">
        <v>825</v>
      </c>
      <c r="E77" s="213"/>
      <c r="F77" s="213" t="s">
        <v>378</v>
      </c>
      <c r="G77" s="213" t="s">
        <v>1137</v>
      </c>
      <c r="H77" s="212" t="s">
        <v>1137</v>
      </c>
      <c r="I77" s="212"/>
      <c r="J77" s="583"/>
      <c r="K77" s="583"/>
      <c r="L77" s="583"/>
      <c r="M77" s="583"/>
      <c r="N77" s="583">
        <v>255</v>
      </c>
      <c r="O77" s="583">
        <v>255</v>
      </c>
      <c r="P77" s="583">
        <v>255</v>
      </c>
      <c r="Q77" s="583"/>
      <c r="R77" s="583"/>
      <c r="S77" s="583"/>
      <c r="T77" s="583"/>
      <c r="U77" s="583"/>
      <c r="V77" s="583"/>
      <c r="W77" s="583"/>
      <c r="X77" s="583"/>
      <c r="Y77" s="583"/>
      <c r="Z77" s="583"/>
      <c r="AA77" s="583"/>
      <c r="AB77" s="583"/>
      <c r="AC77" s="584"/>
      <c r="AD77" s="584"/>
      <c r="AE77" s="584"/>
      <c r="AF77" s="584"/>
      <c r="AG77" s="584"/>
      <c r="AH77" s="584"/>
      <c r="AI77" s="584"/>
      <c r="AJ77" s="584"/>
      <c r="AK77" s="584"/>
      <c r="AL77" s="584"/>
      <c r="AM77" s="584"/>
      <c r="AN77" s="584"/>
      <c r="AO77" s="584"/>
      <c r="AP77" s="584">
        <f>IF(Table_NFI[[#This Row],[Winter Clothes Adult]]+Table_NFI[[#This Row],[Winter Clothes Children]]+Table_NFI[[#This Row],[Winter Items Other]]+Table_NFI[[#This Row],[Winter Blanket]]&gt;0,1,0)</f>
        <v>0</v>
      </c>
      <c r="AQ77" s="584"/>
      <c r="AR77" s="584"/>
      <c r="AS77" s="584"/>
      <c r="AT77" s="585" t="str">
        <f>IFERROR(VLOOKUP(Table_NFI[[#This Row],[Location]],CL,2,0),"")</f>
        <v/>
      </c>
      <c r="AU77" s="579" t="s">
        <v>1388</v>
      </c>
      <c r="AV77" s="197"/>
      <c r="DP77" s="569"/>
    </row>
    <row r="78" spans="2:120" ht="18.75" hidden="1" customHeight="1" x14ac:dyDescent="0.3">
      <c r="B78" s="581">
        <v>42914</v>
      </c>
      <c r="C78" s="581" t="str">
        <f>MONTH(Table_NFI[[#This Row],[Distribution Date]]) &amp; "/" &amp; YEAR(Table_NFI[[#This Row],[Distribution Date]])</f>
        <v>6/2017</v>
      </c>
      <c r="D78" s="579" t="s">
        <v>1264</v>
      </c>
      <c r="E78" s="579" t="s">
        <v>424</v>
      </c>
      <c r="F78" s="579" t="s">
        <v>378</v>
      </c>
      <c r="G78" s="579" t="s">
        <v>5</v>
      </c>
      <c r="H78" s="579" t="s">
        <v>24</v>
      </c>
      <c r="I78" s="582"/>
      <c r="J78" s="583"/>
      <c r="K78" s="583"/>
      <c r="L78" s="583"/>
      <c r="M78" s="583"/>
      <c r="N78" s="583">
        <v>20</v>
      </c>
      <c r="O78" s="583"/>
      <c r="P78" s="583">
        <v>40</v>
      </c>
      <c r="Q78" s="583">
        <v>20</v>
      </c>
      <c r="R78" s="583"/>
      <c r="S78" s="583"/>
      <c r="T78" s="583">
        <v>20</v>
      </c>
      <c r="U78" s="583"/>
      <c r="V78" s="583"/>
      <c r="W78" s="583"/>
      <c r="X78" s="583"/>
      <c r="Y78" s="583"/>
      <c r="Z78" s="583"/>
      <c r="AA78" s="583"/>
      <c r="AB78" s="583"/>
      <c r="AC78" s="584"/>
      <c r="AD78" s="584"/>
      <c r="AE78" s="584"/>
      <c r="AF78" s="584"/>
      <c r="AG78" s="584"/>
      <c r="AH78" s="584"/>
      <c r="AI78" s="584"/>
      <c r="AJ78" s="584"/>
      <c r="AK78" s="584"/>
      <c r="AL78" s="584"/>
      <c r="AM78" s="584"/>
      <c r="AN78" s="584"/>
      <c r="AO78" s="584"/>
      <c r="AP78" s="584">
        <f>IF(Table_NFI[[#This Row],[Winter Clothes Adult]]+Table_NFI[[#This Row],[Winter Clothes Children]]+Table_NFI[[#This Row],[Winter Items Other]]+Table_NFI[[#This Row],[Winter Blanket]]&gt;0,1,0)</f>
        <v>0</v>
      </c>
      <c r="AQ78" s="584"/>
      <c r="AR78" s="584"/>
      <c r="AS78" s="584"/>
      <c r="AT78" s="585" t="str">
        <f>IFERROR(VLOOKUP(Table_NFI[[#This Row],[Location]],CL,2,0),"")</f>
        <v>MMR001CMP055</v>
      </c>
      <c r="AU78" s="586"/>
      <c r="AV78" s="197"/>
      <c r="DP78" s="569"/>
    </row>
    <row r="79" spans="2:120" ht="18.75" hidden="1" customHeight="1" x14ac:dyDescent="0.3">
      <c r="B79" s="581">
        <v>42915</v>
      </c>
      <c r="C79" s="581" t="str">
        <f>MONTH(Table_NFI[[#This Row],[Distribution Date]]) &amp; "/" &amp; YEAR(Table_NFI[[#This Row],[Distribution Date]])</f>
        <v>6/2017</v>
      </c>
      <c r="D79" s="579" t="s">
        <v>1264</v>
      </c>
      <c r="E79" s="579" t="s">
        <v>424</v>
      </c>
      <c r="F79" s="579" t="s">
        <v>378</v>
      </c>
      <c r="G79" s="579" t="s">
        <v>5</v>
      </c>
      <c r="H79" s="579" t="s">
        <v>20</v>
      </c>
      <c r="I79" s="582"/>
      <c r="J79" s="583"/>
      <c r="K79" s="583"/>
      <c r="L79" s="583"/>
      <c r="M79" s="583"/>
      <c r="N79" s="583"/>
      <c r="O79" s="583"/>
      <c r="P79" s="583"/>
      <c r="Q79" s="583">
        <v>22</v>
      </c>
      <c r="R79" s="583"/>
      <c r="S79" s="583"/>
      <c r="T79" s="583"/>
      <c r="U79" s="583"/>
      <c r="V79" s="583"/>
      <c r="W79" s="583"/>
      <c r="X79" s="583"/>
      <c r="Y79" s="583"/>
      <c r="Z79" s="583"/>
      <c r="AA79" s="583"/>
      <c r="AB79" s="583"/>
      <c r="AC79" s="584"/>
      <c r="AD79" s="584"/>
      <c r="AE79" s="584"/>
      <c r="AF79" s="584"/>
      <c r="AG79" s="584"/>
      <c r="AH79" s="584"/>
      <c r="AI79" s="584"/>
      <c r="AJ79" s="584"/>
      <c r="AK79" s="584"/>
      <c r="AL79" s="584"/>
      <c r="AM79" s="584"/>
      <c r="AN79" s="584"/>
      <c r="AO79" s="584"/>
      <c r="AP79" s="584">
        <f>IF(Table_NFI[[#This Row],[Winter Clothes Adult]]+Table_NFI[[#This Row],[Winter Clothes Children]]+Table_NFI[[#This Row],[Winter Items Other]]+Table_NFI[[#This Row],[Winter Blanket]]&gt;0,1,0)</f>
        <v>0</v>
      </c>
      <c r="AQ79" s="584"/>
      <c r="AR79" s="584"/>
      <c r="AS79" s="584"/>
      <c r="AT79" s="585" t="str">
        <f>IFERROR(VLOOKUP(Table_NFI[[#This Row],[Location]],CL,2,0),"")</f>
        <v>MMR001CMP054</v>
      </c>
      <c r="AU79" s="586"/>
      <c r="AV79" s="197"/>
      <c r="DP79" s="569"/>
    </row>
    <row r="80" spans="2:120" ht="18.75" hidden="1" customHeight="1" x14ac:dyDescent="0.3">
      <c r="B80" s="581">
        <v>42915</v>
      </c>
      <c r="C80" s="581" t="str">
        <f>MONTH(Table_NFI[[#This Row],[Distribution Date]]) &amp; "/" &amp; YEAR(Table_NFI[[#This Row],[Distribution Date]])</f>
        <v>6/2017</v>
      </c>
      <c r="D80" s="579" t="s">
        <v>1264</v>
      </c>
      <c r="E80" s="579" t="s">
        <v>424</v>
      </c>
      <c r="F80" s="579" t="s">
        <v>378</v>
      </c>
      <c r="G80" s="579" t="s">
        <v>5</v>
      </c>
      <c r="H80" s="579" t="s">
        <v>26</v>
      </c>
      <c r="I80" s="582"/>
      <c r="J80" s="583"/>
      <c r="K80" s="583"/>
      <c r="L80" s="583"/>
      <c r="M80" s="583"/>
      <c r="N80" s="583"/>
      <c r="O80" s="583"/>
      <c r="P80" s="583"/>
      <c r="Q80" s="583">
        <v>14</v>
      </c>
      <c r="R80" s="583"/>
      <c r="S80" s="583"/>
      <c r="T80" s="583"/>
      <c r="U80" s="583"/>
      <c r="V80" s="583"/>
      <c r="W80" s="583"/>
      <c r="X80" s="583"/>
      <c r="Y80" s="583"/>
      <c r="Z80" s="583"/>
      <c r="AA80" s="583"/>
      <c r="AB80" s="583"/>
      <c r="AC80" s="584"/>
      <c r="AD80" s="584"/>
      <c r="AE80" s="584"/>
      <c r="AF80" s="584"/>
      <c r="AG80" s="584"/>
      <c r="AH80" s="584"/>
      <c r="AI80" s="584"/>
      <c r="AJ80" s="584"/>
      <c r="AK80" s="584"/>
      <c r="AL80" s="584"/>
      <c r="AM80" s="584"/>
      <c r="AN80" s="584"/>
      <c r="AO80" s="584"/>
      <c r="AP80" s="584">
        <f>IF(Table_NFI[[#This Row],[Winter Clothes Adult]]+Table_NFI[[#This Row],[Winter Clothes Children]]+Table_NFI[[#This Row],[Winter Items Other]]+Table_NFI[[#This Row],[Winter Blanket]]&gt;0,1,0)</f>
        <v>0</v>
      </c>
      <c r="AQ80" s="584"/>
      <c r="AR80" s="584"/>
      <c r="AS80" s="584"/>
      <c r="AT80" s="585" t="str">
        <f>IFERROR(VLOOKUP(Table_NFI[[#This Row],[Location]],CL,2,0),"")</f>
        <v>MMR001CMP053</v>
      </c>
      <c r="AU80" s="586"/>
      <c r="AV80" s="197"/>
      <c r="DP80" s="569"/>
    </row>
    <row r="81" spans="2:120" ht="18.75" hidden="1" customHeight="1" x14ac:dyDescent="0.3">
      <c r="B81" s="588">
        <v>42944</v>
      </c>
      <c r="C81" s="588" t="str">
        <f>MONTH(Table_NFI[[#This Row],[Distribution Date]]) &amp; "/" &amp; YEAR(Table_NFI[[#This Row],[Distribution Date]])</f>
        <v>7/2017</v>
      </c>
      <c r="D81" s="579" t="s">
        <v>420</v>
      </c>
      <c r="E81" s="579" t="s">
        <v>462</v>
      </c>
      <c r="F81" s="579" t="s">
        <v>378</v>
      </c>
      <c r="G81" s="579" t="s">
        <v>237</v>
      </c>
      <c r="H81" s="579" t="s">
        <v>1527</v>
      </c>
      <c r="I81" s="582"/>
      <c r="J81" s="583"/>
      <c r="K81" s="583"/>
      <c r="L81" s="583">
        <v>17</v>
      </c>
      <c r="M81" s="583">
        <v>14</v>
      </c>
      <c r="N81" s="583">
        <v>25</v>
      </c>
      <c r="O81" s="583">
        <v>17</v>
      </c>
      <c r="P81" s="583">
        <v>38</v>
      </c>
      <c r="Q81" s="583">
        <v>17</v>
      </c>
      <c r="R81" s="583"/>
      <c r="S81" s="583">
        <v>17</v>
      </c>
      <c r="T81" s="583">
        <v>26</v>
      </c>
      <c r="U81" s="583"/>
      <c r="V81" s="583"/>
      <c r="W81" s="583"/>
      <c r="X81" s="583"/>
      <c r="Y81" s="583">
        <v>17</v>
      </c>
      <c r="Z81" s="583"/>
      <c r="AA81" s="583"/>
      <c r="AB81" s="583">
        <v>17</v>
      </c>
      <c r="AC81" s="584"/>
      <c r="AD81" s="584"/>
      <c r="AE81" s="584"/>
      <c r="AF81" s="584"/>
      <c r="AG81" s="584"/>
      <c r="AH81" s="584"/>
      <c r="AI81" s="584"/>
      <c r="AJ81" s="584"/>
      <c r="AK81" s="584"/>
      <c r="AL81" s="584"/>
      <c r="AM81" s="584"/>
      <c r="AN81" s="584"/>
      <c r="AO81" s="584"/>
      <c r="AP81" s="584">
        <f>IF(Table_NFI[[#This Row],[Winter Clothes Adult]]+Table_NFI[[#This Row],[Winter Clothes Children]]+Table_NFI[[#This Row],[Winter Items Other]]+Table_NFI[[#This Row],[Winter Blanket]]&gt;0,1,0)</f>
        <v>0</v>
      </c>
      <c r="AQ81" s="584"/>
      <c r="AR81" s="584"/>
      <c r="AS81" s="584"/>
      <c r="AT81" s="585" t="str">
        <f>IFERROR(VLOOKUP(Table_NFI[[#This Row],[Location]],CL,2,0),"")</f>
        <v/>
      </c>
      <c r="AU81" s="586"/>
      <c r="AV81" s="197"/>
      <c r="DP81" s="569"/>
    </row>
    <row r="82" spans="2:120" ht="18.75" hidden="1" customHeight="1" x14ac:dyDescent="0.3">
      <c r="B82" s="588">
        <v>42948</v>
      </c>
      <c r="C82" s="588" t="str">
        <f>MONTH(Table_NFI[[#This Row],[Distribution Date]]) &amp; "/" &amp; YEAR(Table_NFI[[#This Row],[Distribution Date]])</f>
        <v>8/2017</v>
      </c>
      <c r="D82" s="235" t="s">
        <v>1264</v>
      </c>
      <c r="E82" s="213" t="s">
        <v>1264</v>
      </c>
      <c r="F82" s="235" t="s">
        <v>378</v>
      </c>
      <c r="G82" s="212" t="s">
        <v>185</v>
      </c>
      <c r="H82" s="235" t="s">
        <v>190</v>
      </c>
      <c r="I82" s="582"/>
      <c r="J82" s="583"/>
      <c r="K82" s="583"/>
      <c r="L82" s="583"/>
      <c r="M82" s="583"/>
      <c r="N82" s="583"/>
      <c r="O82" s="583">
        <v>2</v>
      </c>
      <c r="P82" s="583"/>
      <c r="Q82" s="583"/>
      <c r="R82" s="583"/>
      <c r="S82" s="583"/>
      <c r="T82" s="583"/>
      <c r="U82" s="583"/>
      <c r="V82" s="583"/>
      <c r="W82" s="583"/>
      <c r="X82" s="583"/>
      <c r="Y82" s="583"/>
      <c r="Z82" s="583"/>
      <c r="AA82" s="583"/>
      <c r="AB82" s="583"/>
      <c r="AC82" s="584"/>
      <c r="AD82" s="584"/>
      <c r="AE82" s="584"/>
      <c r="AF82" s="584"/>
      <c r="AG82" s="584"/>
      <c r="AH82" s="584"/>
      <c r="AI82" s="584"/>
      <c r="AJ82" s="584"/>
      <c r="AK82" s="584"/>
      <c r="AL82" s="584"/>
      <c r="AM82" s="584"/>
      <c r="AN82" s="584"/>
      <c r="AO82" s="584"/>
      <c r="AP82" s="584">
        <f>IF(Table_NFI[[#This Row],[Winter Clothes Adult]]+Table_NFI[[#This Row],[Winter Clothes Children]]+Table_NFI[[#This Row],[Winter Items Other]]+Table_NFI[[#This Row],[Winter Blanket]]&gt;0,1,0)</f>
        <v>0</v>
      </c>
      <c r="AQ82" s="584"/>
      <c r="AR82" s="584"/>
      <c r="AS82" s="584"/>
      <c r="AT82" s="585" t="str">
        <f>IFERROR(VLOOKUP(Table_NFI[[#This Row],[Location]],CL,2,0),"")</f>
        <v>MMR001CMP070</v>
      </c>
      <c r="AU82" s="586"/>
      <c r="AV82" s="197"/>
      <c r="DP82" s="569"/>
    </row>
    <row r="83" spans="2:120" ht="18.75" hidden="1" customHeight="1" x14ac:dyDescent="0.3">
      <c r="B83" s="588">
        <v>42948</v>
      </c>
      <c r="C83" s="588" t="str">
        <f>MONTH(Table_NFI[[#This Row],[Distribution Date]]) &amp; "/" &amp; YEAR(Table_NFI[[#This Row],[Distribution Date]])</f>
        <v>8/2017</v>
      </c>
      <c r="D83" s="235" t="s">
        <v>1264</v>
      </c>
      <c r="E83" s="213" t="s">
        <v>1264</v>
      </c>
      <c r="F83" s="235" t="s">
        <v>378</v>
      </c>
      <c r="G83" s="235" t="s">
        <v>5</v>
      </c>
      <c r="H83" s="235" t="s">
        <v>24</v>
      </c>
      <c r="I83" s="582"/>
      <c r="J83" s="583"/>
      <c r="K83" s="583"/>
      <c r="L83" s="583"/>
      <c r="M83" s="583"/>
      <c r="N83" s="583"/>
      <c r="O83" s="583">
        <v>2</v>
      </c>
      <c r="P83" s="583"/>
      <c r="Q83" s="583"/>
      <c r="R83" s="583"/>
      <c r="S83" s="583"/>
      <c r="T83" s="583"/>
      <c r="U83" s="583"/>
      <c r="V83" s="583"/>
      <c r="W83" s="583"/>
      <c r="X83" s="583"/>
      <c r="Y83" s="583"/>
      <c r="Z83" s="583"/>
      <c r="AA83" s="583"/>
      <c r="AB83" s="583"/>
      <c r="AC83" s="584"/>
      <c r="AD83" s="584"/>
      <c r="AE83" s="584"/>
      <c r="AF83" s="584"/>
      <c r="AG83" s="584"/>
      <c r="AH83" s="584"/>
      <c r="AI83" s="584"/>
      <c r="AJ83" s="584"/>
      <c r="AK83" s="584"/>
      <c r="AL83" s="584"/>
      <c r="AM83" s="584"/>
      <c r="AN83" s="584"/>
      <c r="AO83" s="584"/>
      <c r="AP83" s="584">
        <f>IF(Table_NFI[[#This Row],[Winter Clothes Adult]]+Table_NFI[[#This Row],[Winter Clothes Children]]+Table_NFI[[#This Row],[Winter Items Other]]+Table_NFI[[#This Row],[Winter Blanket]]&gt;0,1,0)</f>
        <v>0</v>
      </c>
      <c r="AQ83" s="584"/>
      <c r="AR83" s="584"/>
      <c r="AS83" s="584"/>
      <c r="AT83" s="585" t="str">
        <f>IFERROR(VLOOKUP(Table_NFI[[#This Row],[Location]],CL,2,0),"")</f>
        <v>MMR001CMP055</v>
      </c>
      <c r="AU83" s="586"/>
      <c r="AV83" s="197"/>
      <c r="DP83" s="569"/>
    </row>
    <row r="84" spans="2:120" ht="18.75" hidden="1" customHeight="1" x14ac:dyDescent="0.3">
      <c r="B84" s="588">
        <v>42954</v>
      </c>
      <c r="C84" s="588" t="str">
        <f>MONTH(Table_NFI[[#This Row],[Distribution Date]]) &amp; "/" &amp; YEAR(Table_NFI[[#This Row],[Distribution Date]])</f>
        <v>8/2017</v>
      </c>
      <c r="D84" s="235" t="s">
        <v>1264</v>
      </c>
      <c r="E84" s="235" t="s">
        <v>424</v>
      </c>
      <c r="F84" s="235" t="s">
        <v>378</v>
      </c>
      <c r="G84" s="213" t="s">
        <v>301</v>
      </c>
      <c r="H84" s="235" t="s">
        <v>1533</v>
      </c>
      <c r="I84" s="582"/>
      <c r="J84" s="583"/>
      <c r="K84" s="583"/>
      <c r="L84" s="583"/>
      <c r="M84" s="583"/>
      <c r="N84" s="583">
        <v>60</v>
      </c>
      <c r="O84" s="583">
        <v>10</v>
      </c>
      <c r="P84" s="583">
        <v>60</v>
      </c>
      <c r="Q84" s="583"/>
      <c r="R84" s="583">
        <v>60</v>
      </c>
      <c r="S84" s="583">
        <v>30</v>
      </c>
      <c r="T84" s="583">
        <v>60</v>
      </c>
      <c r="U84" s="583"/>
      <c r="V84" s="583"/>
      <c r="W84" s="583"/>
      <c r="X84" s="583"/>
      <c r="Y84" s="583"/>
      <c r="Z84" s="583">
        <v>60</v>
      </c>
      <c r="AA84" s="583"/>
      <c r="AB84" s="583"/>
      <c r="AC84" s="584"/>
      <c r="AD84" s="584"/>
      <c r="AE84" s="584"/>
      <c r="AF84" s="584"/>
      <c r="AG84" s="584"/>
      <c r="AH84" s="584"/>
      <c r="AI84" s="584"/>
      <c r="AJ84" s="584"/>
      <c r="AK84" s="584"/>
      <c r="AL84" s="584"/>
      <c r="AM84" s="584"/>
      <c r="AN84" s="584"/>
      <c r="AO84" s="584"/>
      <c r="AP84" s="584">
        <f>IF(Table_NFI[[#This Row],[Winter Clothes Adult]]+Table_NFI[[#This Row],[Winter Clothes Children]]+Table_NFI[[#This Row],[Winter Items Other]]+Table_NFI[[#This Row],[Winter Blanket]]&gt;0,1,0)</f>
        <v>0</v>
      </c>
      <c r="AQ84" s="584"/>
      <c r="AR84" s="584"/>
      <c r="AS84" s="584"/>
      <c r="AT84" s="585" t="str">
        <f>IFERROR(VLOOKUP(Table_NFI[[#This Row],[Location]],CL,2,0),"")</f>
        <v/>
      </c>
      <c r="AU84" s="586"/>
      <c r="AV84" s="197"/>
      <c r="DP84" s="569"/>
    </row>
    <row r="85" spans="2:120" ht="18.75" hidden="1" customHeight="1" x14ac:dyDescent="0.3">
      <c r="B85" s="581">
        <v>42962</v>
      </c>
      <c r="C85" s="581" t="str">
        <f>MONTH(Table_NFI[[#This Row],[Distribution Date]]) &amp; "/" &amp; YEAR(Table_NFI[[#This Row],[Distribution Date]])</f>
        <v>8/2017</v>
      </c>
      <c r="D85" s="579" t="s">
        <v>1390</v>
      </c>
      <c r="E85" s="212" t="s">
        <v>1390</v>
      </c>
      <c r="F85" s="579" t="s">
        <v>378</v>
      </c>
      <c r="G85" s="213" t="s">
        <v>301</v>
      </c>
      <c r="H85" s="579" t="s">
        <v>1542</v>
      </c>
      <c r="I85" s="582"/>
      <c r="J85" s="583"/>
      <c r="K85" s="583"/>
      <c r="L85" s="583"/>
      <c r="M85" s="583"/>
      <c r="N85" s="583">
        <v>10</v>
      </c>
      <c r="O85" s="583"/>
      <c r="P85" s="583">
        <v>10</v>
      </c>
      <c r="Q85" s="583">
        <v>5</v>
      </c>
      <c r="R85" s="583"/>
      <c r="S85" s="583"/>
      <c r="T85" s="583">
        <v>10</v>
      </c>
      <c r="U85" s="583"/>
      <c r="V85" s="583"/>
      <c r="W85" s="583"/>
      <c r="X85" s="583"/>
      <c r="Y85" s="583"/>
      <c r="Z85" s="583"/>
      <c r="AA85" s="583"/>
      <c r="AB85" s="583"/>
      <c r="AC85" s="584"/>
      <c r="AD85" s="584"/>
      <c r="AE85" s="584"/>
      <c r="AF85" s="584"/>
      <c r="AG85" s="584"/>
      <c r="AH85" s="584"/>
      <c r="AI85" s="584"/>
      <c r="AJ85" s="584"/>
      <c r="AK85" s="584"/>
      <c r="AL85" s="584"/>
      <c r="AM85" s="584"/>
      <c r="AN85" s="584"/>
      <c r="AO85" s="584"/>
      <c r="AP85" s="584">
        <f>IF(Table_NFI[[#This Row],[Winter Clothes Adult]]+Table_NFI[[#This Row],[Winter Clothes Children]]+Table_NFI[[#This Row],[Winter Items Other]]+Table_NFI[[#This Row],[Winter Blanket]]&gt;0,1,0)</f>
        <v>0</v>
      </c>
      <c r="AQ85" s="584"/>
      <c r="AR85" s="584"/>
      <c r="AS85" s="584"/>
      <c r="AT85" s="585" t="str">
        <f>IFERROR(VLOOKUP(Table_NFI[[#This Row],[Location]],CL,2,0),"")</f>
        <v/>
      </c>
      <c r="AU85" s="586"/>
      <c r="AV85" s="197"/>
      <c r="DP85" s="569"/>
    </row>
    <row r="86" spans="2:120" ht="18.75" hidden="1" customHeight="1" x14ac:dyDescent="0.3">
      <c r="B86" s="581">
        <v>42962</v>
      </c>
      <c r="C86" s="581" t="str">
        <f>MONTH(Table_NFI[[#This Row],[Distribution Date]]) &amp; "/" &amp; YEAR(Table_NFI[[#This Row],[Distribution Date]])</f>
        <v>8/2017</v>
      </c>
      <c r="D86" s="579" t="s">
        <v>1390</v>
      </c>
      <c r="E86" s="212" t="s">
        <v>1390</v>
      </c>
      <c r="F86" s="579" t="s">
        <v>378</v>
      </c>
      <c r="G86" s="213" t="s">
        <v>301</v>
      </c>
      <c r="H86" s="579" t="s">
        <v>1541</v>
      </c>
      <c r="I86" s="582"/>
      <c r="J86" s="583"/>
      <c r="K86" s="583"/>
      <c r="L86" s="583"/>
      <c r="M86" s="583"/>
      <c r="N86" s="583">
        <v>4</v>
      </c>
      <c r="O86" s="583"/>
      <c r="P86" s="583">
        <v>4</v>
      </c>
      <c r="Q86" s="583">
        <v>2</v>
      </c>
      <c r="R86" s="583"/>
      <c r="S86" s="583"/>
      <c r="T86" s="583">
        <v>4</v>
      </c>
      <c r="U86" s="583"/>
      <c r="V86" s="583"/>
      <c r="W86" s="583"/>
      <c r="X86" s="583"/>
      <c r="Y86" s="583"/>
      <c r="Z86" s="583"/>
      <c r="AA86" s="583"/>
      <c r="AB86" s="583"/>
      <c r="AC86" s="584"/>
      <c r="AD86" s="584"/>
      <c r="AE86" s="584"/>
      <c r="AF86" s="584"/>
      <c r="AG86" s="584"/>
      <c r="AH86" s="584"/>
      <c r="AI86" s="584"/>
      <c r="AJ86" s="584"/>
      <c r="AK86" s="584"/>
      <c r="AL86" s="584"/>
      <c r="AM86" s="584"/>
      <c r="AN86" s="584"/>
      <c r="AO86" s="584"/>
      <c r="AP86" s="584">
        <f>IF(Table_NFI[[#This Row],[Winter Clothes Adult]]+Table_NFI[[#This Row],[Winter Clothes Children]]+Table_NFI[[#This Row],[Winter Items Other]]+Table_NFI[[#This Row],[Winter Blanket]]&gt;0,1,0)</f>
        <v>0</v>
      </c>
      <c r="AQ86" s="584"/>
      <c r="AR86" s="584"/>
      <c r="AS86" s="584"/>
      <c r="AT86" s="585" t="str">
        <f>IFERROR(VLOOKUP(Table_NFI[[#This Row],[Location]],CL,2,0),"")</f>
        <v/>
      </c>
      <c r="AU86" s="586"/>
      <c r="AV86" s="197"/>
      <c r="DP86" s="569"/>
    </row>
    <row r="87" spans="2:120" ht="18.75" hidden="1" customHeight="1" x14ac:dyDescent="0.3">
      <c r="B87" s="588">
        <v>42962</v>
      </c>
      <c r="C87" s="588" t="str">
        <f>MONTH(Table_NFI[[#This Row],[Distribution Date]]) &amp; "/" &amp; YEAR(Table_NFI[[#This Row],[Distribution Date]])</f>
        <v>8/2017</v>
      </c>
      <c r="D87" s="235" t="s">
        <v>1264</v>
      </c>
      <c r="E87" s="235" t="s">
        <v>1264</v>
      </c>
      <c r="F87" s="213" t="s">
        <v>378</v>
      </c>
      <c r="G87" s="213" t="s">
        <v>151</v>
      </c>
      <c r="H87" s="235" t="s">
        <v>811</v>
      </c>
      <c r="I87" s="582"/>
      <c r="J87" s="583"/>
      <c r="K87" s="583"/>
      <c r="L87" s="583"/>
      <c r="M87" s="583"/>
      <c r="N87" s="583"/>
      <c r="O87" s="583"/>
      <c r="P87" s="583"/>
      <c r="Q87" s="583"/>
      <c r="R87" s="583"/>
      <c r="S87" s="583"/>
      <c r="T87" s="583"/>
      <c r="U87" s="583"/>
      <c r="V87" s="583"/>
      <c r="W87" s="583"/>
      <c r="X87" s="583"/>
      <c r="Y87" s="583"/>
      <c r="Z87" s="583">
        <v>166</v>
      </c>
      <c r="AA87" s="583"/>
      <c r="AB87" s="583"/>
      <c r="AC87" s="584"/>
      <c r="AD87" s="584"/>
      <c r="AE87" s="584"/>
      <c r="AF87" s="584"/>
      <c r="AG87" s="584"/>
      <c r="AH87" s="584"/>
      <c r="AI87" s="584"/>
      <c r="AJ87" s="584"/>
      <c r="AK87" s="584"/>
      <c r="AL87" s="584"/>
      <c r="AM87" s="584"/>
      <c r="AN87" s="584"/>
      <c r="AO87" s="584"/>
      <c r="AP87" s="584">
        <f>IF(Table_NFI[[#This Row],[Winter Clothes Adult]]+Table_NFI[[#This Row],[Winter Clothes Children]]+Table_NFI[[#This Row],[Winter Items Other]]+Table_NFI[[#This Row],[Winter Blanket]]&gt;0,1,0)</f>
        <v>0</v>
      </c>
      <c r="AQ87" s="584"/>
      <c r="AR87" s="584"/>
      <c r="AS87" s="584"/>
      <c r="AT87" s="585" t="str">
        <f>IFERROR(VLOOKUP(Table_NFI[[#This Row],[Location]],CL,2,0),"")</f>
        <v>MMR001CMP218</v>
      </c>
      <c r="AU87" s="586"/>
      <c r="AV87" s="197"/>
      <c r="DP87" s="569"/>
    </row>
    <row r="88" spans="2:120" ht="18.75" hidden="1" customHeight="1" x14ac:dyDescent="0.3">
      <c r="B88" s="588">
        <v>42962</v>
      </c>
      <c r="C88" s="588" t="str">
        <f>MONTH(Table_NFI[[#This Row],[Distribution Date]]) &amp; "/" &amp; YEAR(Table_NFI[[#This Row],[Distribution Date]])</f>
        <v>8/2017</v>
      </c>
      <c r="D88" s="235" t="s">
        <v>1264</v>
      </c>
      <c r="E88" s="235" t="s">
        <v>1264</v>
      </c>
      <c r="F88" s="235" t="s">
        <v>378</v>
      </c>
      <c r="G88" s="213" t="s">
        <v>151</v>
      </c>
      <c r="H88" s="235" t="s">
        <v>1532</v>
      </c>
      <c r="I88" s="582"/>
      <c r="J88" s="583"/>
      <c r="K88" s="583"/>
      <c r="L88" s="583"/>
      <c r="M88" s="583"/>
      <c r="N88" s="583"/>
      <c r="O88" s="583"/>
      <c r="P88" s="583"/>
      <c r="Q88" s="583"/>
      <c r="R88" s="583"/>
      <c r="S88" s="583"/>
      <c r="T88" s="583"/>
      <c r="U88" s="583"/>
      <c r="V88" s="583"/>
      <c r="W88" s="583"/>
      <c r="X88" s="583"/>
      <c r="Y88" s="583"/>
      <c r="Z88" s="583">
        <v>64</v>
      </c>
      <c r="AA88" s="583"/>
      <c r="AB88" s="583"/>
      <c r="AC88" s="584"/>
      <c r="AD88" s="584"/>
      <c r="AE88" s="584"/>
      <c r="AF88" s="584"/>
      <c r="AG88" s="584"/>
      <c r="AH88" s="584"/>
      <c r="AI88" s="584"/>
      <c r="AJ88" s="584"/>
      <c r="AK88" s="584"/>
      <c r="AL88" s="584"/>
      <c r="AM88" s="584"/>
      <c r="AN88" s="584"/>
      <c r="AO88" s="584"/>
      <c r="AP88" s="584">
        <f>IF(Table_NFI[[#This Row],[Winter Clothes Adult]]+Table_NFI[[#This Row],[Winter Clothes Children]]+Table_NFI[[#This Row],[Winter Items Other]]+Table_NFI[[#This Row],[Winter Blanket]]&gt;0,1,0)</f>
        <v>0</v>
      </c>
      <c r="AQ88" s="584"/>
      <c r="AR88" s="584"/>
      <c r="AS88" s="584"/>
      <c r="AT88" s="585" t="str">
        <f>IFERROR(VLOOKUP(Table_NFI[[#This Row],[Location]],CL,2,0),"")</f>
        <v/>
      </c>
      <c r="AU88" s="586"/>
      <c r="AV88" s="197"/>
      <c r="DP88" s="569"/>
    </row>
    <row r="89" spans="2:120" ht="18.75" hidden="1" customHeight="1" x14ac:dyDescent="0.3">
      <c r="B89" s="581">
        <v>42963</v>
      </c>
      <c r="C89" s="581" t="str">
        <f>MONTH(Table_NFI[[#This Row],[Distribution Date]]) &amp; "/" &amp; YEAR(Table_NFI[[#This Row],[Distribution Date]])</f>
        <v>8/2017</v>
      </c>
      <c r="D89" s="579" t="s">
        <v>1390</v>
      </c>
      <c r="E89" s="212" t="s">
        <v>1390</v>
      </c>
      <c r="F89" s="579" t="s">
        <v>378</v>
      </c>
      <c r="G89" s="213" t="s">
        <v>301</v>
      </c>
      <c r="H89" s="579" t="s">
        <v>1540</v>
      </c>
      <c r="I89" s="582"/>
      <c r="J89" s="583"/>
      <c r="K89" s="583"/>
      <c r="L89" s="583"/>
      <c r="M89" s="583"/>
      <c r="N89" s="583">
        <v>14</v>
      </c>
      <c r="O89" s="583"/>
      <c r="P89" s="583">
        <v>14</v>
      </c>
      <c r="Q89" s="583">
        <v>7</v>
      </c>
      <c r="R89" s="583"/>
      <c r="S89" s="583"/>
      <c r="T89" s="583">
        <v>14</v>
      </c>
      <c r="U89" s="583"/>
      <c r="V89" s="583"/>
      <c r="W89" s="583"/>
      <c r="X89" s="583"/>
      <c r="Y89" s="583"/>
      <c r="Z89" s="583"/>
      <c r="AA89" s="583"/>
      <c r="AB89" s="583"/>
      <c r="AC89" s="584"/>
      <c r="AD89" s="584"/>
      <c r="AE89" s="584"/>
      <c r="AF89" s="584"/>
      <c r="AG89" s="584"/>
      <c r="AH89" s="584"/>
      <c r="AI89" s="584"/>
      <c r="AJ89" s="584"/>
      <c r="AK89" s="584"/>
      <c r="AL89" s="584"/>
      <c r="AM89" s="584"/>
      <c r="AN89" s="584"/>
      <c r="AO89" s="584"/>
      <c r="AP89" s="584">
        <f>IF(Table_NFI[[#This Row],[Winter Clothes Adult]]+Table_NFI[[#This Row],[Winter Clothes Children]]+Table_NFI[[#This Row],[Winter Items Other]]+Table_NFI[[#This Row],[Winter Blanket]]&gt;0,1,0)</f>
        <v>0</v>
      </c>
      <c r="AQ89" s="584"/>
      <c r="AR89" s="584"/>
      <c r="AS89" s="584"/>
      <c r="AT89" s="585" t="str">
        <f>IFERROR(VLOOKUP(Table_NFI[[#This Row],[Location]],CL,2,0),"")</f>
        <v/>
      </c>
      <c r="AU89" s="586"/>
      <c r="AV89" s="197"/>
      <c r="DP89" s="569"/>
    </row>
    <row r="90" spans="2:120" ht="18.75" hidden="1" customHeight="1" x14ac:dyDescent="0.3">
      <c r="B90" s="581">
        <v>42963</v>
      </c>
      <c r="C90" s="581" t="str">
        <f>MONTH(Table_NFI[[#This Row],[Distribution Date]]) &amp; "/" &amp; YEAR(Table_NFI[[#This Row],[Distribution Date]])</f>
        <v>8/2017</v>
      </c>
      <c r="D90" s="579" t="s">
        <v>1390</v>
      </c>
      <c r="E90" s="212" t="s">
        <v>1390</v>
      </c>
      <c r="F90" s="579" t="s">
        <v>378</v>
      </c>
      <c r="G90" s="213" t="s">
        <v>301</v>
      </c>
      <c r="H90" s="579" t="s">
        <v>1539</v>
      </c>
      <c r="I90" s="582"/>
      <c r="J90" s="583"/>
      <c r="K90" s="583"/>
      <c r="L90" s="583"/>
      <c r="M90" s="583"/>
      <c r="N90" s="583">
        <v>8</v>
      </c>
      <c r="O90" s="583"/>
      <c r="P90" s="583">
        <v>8</v>
      </c>
      <c r="Q90" s="583">
        <v>4</v>
      </c>
      <c r="R90" s="583"/>
      <c r="S90" s="583"/>
      <c r="T90" s="583">
        <v>8</v>
      </c>
      <c r="U90" s="583"/>
      <c r="V90" s="583"/>
      <c r="W90" s="583"/>
      <c r="X90" s="583"/>
      <c r="Y90" s="583"/>
      <c r="Z90" s="583"/>
      <c r="AA90" s="583"/>
      <c r="AB90" s="583"/>
      <c r="AC90" s="584"/>
      <c r="AD90" s="584"/>
      <c r="AE90" s="584"/>
      <c r="AF90" s="584"/>
      <c r="AG90" s="584"/>
      <c r="AH90" s="584"/>
      <c r="AI90" s="584"/>
      <c r="AJ90" s="584"/>
      <c r="AK90" s="584"/>
      <c r="AL90" s="584"/>
      <c r="AM90" s="584"/>
      <c r="AN90" s="584"/>
      <c r="AO90" s="584"/>
      <c r="AP90" s="584">
        <f>IF(Table_NFI[[#This Row],[Winter Clothes Adult]]+Table_NFI[[#This Row],[Winter Clothes Children]]+Table_NFI[[#This Row],[Winter Items Other]]+Table_NFI[[#This Row],[Winter Blanket]]&gt;0,1,0)</f>
        <v>0</v>
      </c>
      <c r="AQ90" s="584"/>
      <c r="AR90" s="584"/>
      <c r="AS90" s="584"/>
      <c r="AT90" s="585" t="str">
        <f>IFERROR(VLOOKUP(Table_NFI[[#This Row],[Location]],CL,2,0),"")</f>
        <v/>
      </c>
      <c r="AU90" s="586"/>
      <c r="AV90" s="197"/>
      <c r="DP90" s="569"/>
    </row>
    <row r="91" spans="2:120" ht="18.75" hidden="1" customHeight="1" x14ac:dyDescent="0.3">
      <c r="B91" s="581">
        <v>42963</v>
      </c>
      <c r="C91" s="581" t="str">
        <f>MONTH(Table_NFI[[#This Row],[Distribution Date]]) &amp; "/" &amp; YEAR(Table_NFI[[#This Row],[Distribution Date]])</f>
        <v>8/2017</v>
      </c>
      <c r="D91" s="579" t="s">
        <v>1390</v>
      </c>
      <c r="E91" s="212" t="s">
        <v>1390</v>
      </c>
      <c r="F91" s="579" t="s">
        <v>378</v>
      </c>
      <c r="G91" s="579" t="s">
        <v>5</v>
      </c>
      <c r="H91" s="579" t="s">
        <v>1537</v>
      </c>
      <c r="I91" s="582"/>
      <c r="J91" s="583"/>
      <c r="K91" s="583"/>
      <c r="L91" s="583"/>
      <c r="M91" s="583"/>
      <c r="N91" s="583">
        <v>12</v>
      </c>
      <c r="O91" s="583"/>
      <c r="P91" s="583">
        <v>12</v>
      </c>
      <c r="Q91" s="583">
        <v>6</v>
      </c>
      <c r="R91" s="583"/>
      <c r="S91" s="583"/>
      <c r="T91" s="583">
        <v>12</v>
      </c>
      <c r="U91" s="583"/>
      <c r="V91" s="583"/>
      <c r="W91" s="583"/>
      <c r="X91" s="583"/>
      <c r="Y91" s="583"/>
      <c r="Z91" s="583"/>
      <c r="AA91" s="583"/>
      <c r="AB91" s="583"/>
      <c r="AC91" s="584"/>
      <c r="AD91" s="584"/>
      <c r="AE91" s="584"/>
      <c r="AF91" s="584"/>
      <c r="AG91" s="584"/>
      <c r="AH91" s="584"/>
      <c r="AI91" s="584"/>
      <c r="AJ91" s="584"/>
      <c r="AK91" s="584"/>
      <c r="AL91" s="584"/>
      <c r="AM91" s="584"/>
      <c r="AN91" s="584"/>
      <c r="AO91" s="584"/>
      <c r="AP91" s="584">
        <f>IF(Table_NFI[[#This Row],[Winter Clothes Adult]]+Table_NFI[[#This Row],[Winter Clothes Children]]+Table_NFI[[#This Row],[Winter Items Other]]+Table_NFI[[#This Row],[Winter Blanket]]&gt;0,1,0)</f>
        <v>0</v>
      </c>
      <c r="AQ91" s="584"/>
      <c r="AR91" s="584"/>
      <c r="AS91" s="584"/>
      <c r="AT91" s="585" t="str">
        <f>IFERROR(VLOOKUP(Table_NFI[[#This Row],[Location]],CL,2,0),"")</f>
        <v/>
      </c>
      <c r="AU91" s="586"/>
      <c r="AV91" s="197"/>
      <c r="DP91" s="569"/>
    </row>
    <row r="92" spans="2:120" ht="18.75" hidden="1" customHeight="1" x14ac:dyDescent="0.3">
      <c r="B92" s="581">
        <v>42963</v>
      </c>
      <c r="C92" s="581" t="str">
        <f>MONTH(Table_NFI[[#This Row],[Distribution Date]]) &amp; "/" &amp; YEAR(Table_NFI[[#This Row],[Distribution Date]])</f>
        <v>8/2017</v>
      </c>
      <c r="D92" s="579" t="s">
        <v>1390</v>
      </c>
      <c r="E92" s="212" t="s">
        <v>1390</v>
      </c>
      <c r="F92" s="579" t="s">
        <v>378</v>
      </c>
      <c r="G92" s="579" t="s">
        <v>5</v>
      </c>
      <c r="H92" s="579" t="s">
        <v>583</v>
      </c>
      <c r="I92" s="582"/>
      <c r="J92" s="583"/>
      <c r="K92" s="583"/>
      <c r="L92" s="583"/>
      <c r="M92" s="583"/>
      <c r="N92" s="583">
        <v>68</v>
      </c>
      <c r="O92" s="583"/>
      <c r="P92" s="583">
        <v>68</v>
      </c>
      <c r="Q92" s="583">
        <v>34</v>
      </c>
      <c r="R92" s="583"/>
      <c r="S92" s="583"/>
      <c r="T92" s="583">
        <v>68</v>
      </c>
      <c r="U92" s="583"/>
      <c r="V92" s="583"/>
      <c r="W92" s="583"/>
      <c r="X92" s="583"/>
      <c r="Y92" s="583"/>
      <c r="Z92" s="583"/>
      <c r="AA92" s="583"/>
      <c r="AB92" s="583"/>
      <c r="AC92" s="584"/>
      <c r="AD92" s="584"/>
      <c r="AE92" s="584"/>
      <c r="AF92" s="584"/>
      <c r="AG92" s="584"/>
      <c r="AH92" s="584"/>
      <c r="AI92" s="584"/>
      <c r="AJ92" s="584"/>
      <c r="AK92" s="584"/>
      <c r="AL92" s="584"/>
      <c r="AM92" s="584"/>
      <c r="AN92" s="584"/>
      <c r="AO92" s="584"/>
      <c r="AP92" s="584">
        <f>IF(Table_NFI[[#This Row],[Winter Clothes Adult]]+Table_NFI[[#This Row],[Winter Clothes Children]]+Table_NFI[[#This Row],[Winter Items Other]]+Table_NFI[[#This Row],[Winter Blanket]]&gt;0,1,0)</f>
        <v>0</v>
      </c>
      <c r="AQ92" s="584"/>
      <c r="AR92" s="584"/>
      <c r="AS92" s="584"/>
      <c r="AT92" s="585" t="str">
        <f>IFERROR(VLOOKUP(Table_NFI[[#This Row],[Location]],CL,2,0),"")</f>
        <v/>
      </c>
      <c r="AU92" s="586"/>
      <c r="AV92" s="197"/>
      <c r="DP92" s="569"/>
    </row>
    <row r="93" spans="2:120" ht="18.75" hidden="1" customHeight="1" x14ac:dyDescent="0.3">
      <c r="B93" s="581">
        <v>42963</v>
      </c>
      <c r="C93" s="581" t="str">
        <f>MONTH(Table_NFI[[#This Row],[Distribution Date]]) &amp; "/" &amp; YEAR(Table_NFI[[#This Row],[Distribution Date]])</f>
        <v>8/2017</v>
      </c>
      <c r="D93" s="579" t="s">
        <v>1390</v>
      </c>
      <c r="E93" s="212" t="s">
        <v>1390</v>
      </c>
      <c r="F93" s="579" t="s">
        <v>378</v>
      </c>
      <c r="G93" s="579" t="s">
        <v>5</v>
      </c>
      <c r="H93" s="579" t="s">
        <v>1536</v>
      </c>
      <c r="I93" s="582"/>
      <c r="J93" s="583"/>
      <c r="K93" s="583"/>
      <c r="L93" s="583"/>
      <c r="M93" s="583"/>
      <c r="N93" s="583">
        <v>166</v>
      </c>
      <c r="O93" s="583"/>
      <c r="P93" s="583">
        <v>166</v>
      </c>
      <c r="Q93" s="583">
        <v>83</v>
      </c>
      <c r="R93" s="583"/>
      <c r="S93" s="583"/>
      <c r="T93" s="583">
        <v>166</v>
      </c>
      <c r="U93" s="583"/>
      <c r="V93" s="583"/>
      <c r="W93" s="583"/>
      <c r="X93" s="583"/>
      <c r="Y93" s="583"/>
      <c r="Z93" s="583"/>
      <c r="AA93" s="583"/>
      <c r="AB93" s="583"/>
      <c r="AC93" s="584"/>
      <c r="AD93" s="584"/>
      <c r="AE93" s="584"/>
      <c r="AF93" s="584"/>
      <c r="AG93" s="584"/>
      <c r="AH93" s="584"/>
      <c r="AI93" s="584"/>
      <c r="AJ93" s="584"/>
      <c r="AK93" s="584"/>
      <c r="AL93" s="584"/>
      <c r="AM93" s="584"/>
      <c r="AN93" s="584"/>
      <c r="AO93" s="584"/>
      <c r="AP93" s="584">
        <f>IF(Table_NFI[[#This Row],[Winter Clothes Adult]]+Table_NFI[[#This Row],[Winter Clothes Children]]+Table_NFI[[#This Row],[Winter Items Other]]+Table_NFI[[#This Row],[Winter Blanket]]&gt;0,1,0)</f>
        <v>0</v>
      </c>
      <c r="AQ93" s="584"/>
      <c r="AR93" s="584"/>
      <c r="AS93" s="584"/>
      <c r="AT93" s="585" t="str">
        <f>IFERROR(VLOOKUP(Table_NFI[[#This Row],[Location]],CL,2,0),"")</f>
        <v/>
      </c>
      <c r="AU93" s="586"/>
      <c r="AV93" s="197"/>
      <c r="DP93" s="569"/>
    </row>
    <row r="94" spans="2:120" ht="18.75" hidden="1" customHeight="1" x14ac:dyDescent="0.3">
      <c r="B94" s="588">
        <v>42966</v>
      </c>
      <c r="C94" s="588" t="str">
        <f>MONTH(Table_NFI[[#This Row],[Distribution Date]]) &amp; "/" &amp; YEAR(Table_NFI[[#This Row],[Distribution Date]])</f>
        <v>8/2017</v>
      </c>
      <c r="D94" s="579" t="s">
        <v>1390</v>
      </c>
      <c r="E94" s="212" t="s">
        <v>1390</v>
      </c>
      <c r="F94" s="235" t="s">
        <v>378</v>
      </c>
      <c r="G94" s="235" t="s">
        <v>5</v>
      </c>
      <c r="H94" s="235" t="s">
        <v>12</v>
      </c>
      <c r="I94" s="197"/>
      <c r="J94" s="576">
        <v>131</v>
      </c>
      <c r="K94" s="576"/>
      <c r="L94" s="576">
        <v>141</v>
      </c>
      <c r="M94" s="583"/>
      <c r="N94" s="583"/>
      <c r="O94" s="583"/>
      <c r="P94" s="583"/>
      <c r="Q94" s="583"/>
      <c r="R94" s="583"/>
      <c r="S94" s="583"/>
      <c r="T94" s="583"/>
      <c r="U94" s="583"/>
      <c r="V94" s="583"/>
      <c r="W94" s="583"/>
      <c r="X94" s="583"/>
      <c r="Y94" s="583"/>
      <c r="Z94" s="583"/>
      <c r="AA94" s="583"/>
      <c r="AB94" s="583"/>
      <c r="AC94" s="584"/>
      <c r="AD94" s="584"/>
      <c r="AE94" s="584"/>
      <c r="AF94" s="584"/>
      <c r="AG94" s="584"/>
      <c r="AH94" s="584"/>
      <c r="AI94" s="584"/>
      <c r="AJ94" s="584"/>
      <c r="AK94" s="584"/>
      <c r="AL94" s="584"/>
      <c r="AM94" s="584"/>
      <c r="AN94" s="584"/>
      <c r="AO94" s="584"/>
      <c r="AP94" s="584">
        <f>IF(Table_NFI[[#This Row],[Winter Clothes Adult]]+Table_NFI[[#This Row],[Winter Clothes Children]]+Table_NFI[[#This Row],[Winter Items Other]]+Table_NFI[[#This Row],[Winter Blanket]]&gt;0,1,0)</f>
        <v>0</v>
      </c>
      <c r="AQ94" s="584"/>
      <c r="AR94" s="584"/>
      <c r="AS94" s="584"/>
      <c r="AT94" s="585" t="str">
        <f>IFERROR(VLOOKUP(Table_NFI[[#This Row],[Location]],CL,2,0),"")</f>
        <v>MMR001CMP163</v>
      </c>
      <c r="AU94" s="586"/>
      <c r="AV94" s="197"/>
      <c r="DP94" s="569"/>
    </row>
    <row r="95" spans="2:120" ht="18.75" hidden="1" customHeight="1" x14ac:dyDescent="0.3">
      <c r="B95" s="588">
        <v>42976</v>
      </c>
      <c r="C95" s="588" t="str">
        <f>MONTH(Table_NFI[[#This Row],[Distribution Date]]) &amp; "/" &amp; YEAR(Table_NFI[[#This Row],[Distribution Date]])</f>
        <v>8/2017</v>
      </c>
      <c r="D95" s="579" t="s">
        <v>1390</v>
      </c>
      <c r="E95" s="212" t="s">
        <v>1390</v>
      </c>
      <c r="F95" s="235" t="s">
        <v>378</v>
      </c>
      <c r="G95" s="235" t="s">
        <v>237</v>
      </c>
      <c r="H95" s="235" t="s">
        <v>1531</v>
      </c>
      <c r="I95" s="197"/>
      <c r="J95" s="576">
        <v>29</v>
      </c>
      <c r="K95" s="576"/>
      <c r="L95" s="583"/>
      <c r="M95" s="583"/>
      <c r="N95" s="583"/>
      <c r="O95" s="583"/>
      <c r="P95" s="583"/>
      <c r="Q95" s="583"/>
      <c r="R95" s="583"/>
      <c r="S95" s="583"/>
      <c r="T95" s="583"/>
      <c r="U95" s="583"/>
      <c r="V95" s="583"/>
      <c r="W95" s="583"/>
      <c r="X95" s="583"/>
      <c r="Y95" s="583"/>
      <c r="Z95" s="583"/>
      <c r="AA95" s="583"/>
      <c r="AB95" s="583"/>
      <c r="AC95" s="584"/>
      <c r="AD95" s="584"/>
      <c r="AE95" s="584"/>
      <c r="AF95" s="584"/>
      <c r="AG95" s="584"/>
      <c r="AH95" s="584"/>
      <c r="AI95" s="584"/>
      <c r="AJ95" s="584"/>
      <c r="AK95" s="584"/>
      <c r="AL95" s="584"/>
      <c r="AM95" s="584"/>
      <c r="AN95" s="584"/>
      <c r="AO95" s="584"/>
      <c r="AP95" s="584">
        <f>IF(Table_NFI[[#This Row],[Winter Clothes Adult]]+Table_NFI[[#This Row],[Winter Clothes Children]]+Table_NFI[[#This Row],[Winter Items Other]]+Table_NFI[[#This Row],[Winter Blanket]]&gt;0,1,0)</f>
        <v>0</v>
      </c>
      <c r="AQ95" s="584"/>
      <c r="AR95" s="584"/>
      <c r="AS95" s="584"/>
      <c r="AT95" s="585" t="str">
        <f>IFERROR(VLOOKUP(Table_NFI[[#This Row],[Location]],CL,2,0),"")</f>
        <v/>
      </c>
      <c r="AU95" s="586"/>
      <c r="AV95" s="197"/>
      <c r="DP95" s="569"/>
    </row>
    <row r="96" spans="2:120" ht="18.75" hidden="1" customHeight="1" x14ac:dyDescent="0.3">
      <c r="B96" s="581">
        <v>42985</v>
      </c>
      <c r="C96" s="581" t="str">
        <f>MONTH(Table_NFI[[#This Row],[Distribution Date]]) &amp; "/" &amp; YEAR(Table_NFI[[#This Row],[Distribution Date]])</f>
        <v>9/2017</v>
      </c>
      <c r="D96" s="579" t="s">
        <v>420</v>
      </c>
      <c r="E96" s="579" t="s">
        <v>1619</v>
      </c>
      <c r="F96" s="579" t="s">
        <v>378</v>
      </c>
      <c r="G96" s="579" t="s">
        <v>5</v>
      </c>
      <c r="H96" s="579" t="s">
        <v>1549</v>
      </c>
      <c r="I96" s="582"/>
      <c r="J96" s="583"/>
      <c r="K96" s="583"/>
      <c r="L96" s="583"/>
      <c r="M96" s="583"/>
      <c r="N96" s="583"/>
      <c r="O96" s="583">
        <v>15</v>
      </c>
      <c r="P96" s="583"/>
      <c r="Q96" s="583"/>
      <c r="R96" s="583"/>
      <c r="S96" s="583"/>
      <c r="T96" s="583"/>
      <c r="U96" s="583"/>
      <c r="V96" s="583"/>
      <c r="W96" s="583"/>
      <c r="X96" s="583"/>
      <c r="Y96" s="583"/>
      <c r="Z96" s="583"/>
      <c r="AA96" s="583"/>
      <c r="AB96" s="583"/>
      <c r="AC96" s="584"/>
      <c r="AD96" s="584"/>
      <c r="AE96" s="584"/>
      <c r="AF96" s="584"/>
      <c r="AG96" s="584"/>
      <c r="AH96" s="584"/>
      <c r="AI96" s="584"/>
      <c r="AJ96" s="584"/>
      <c r="AK96" s="584"/>
      <c r="AL96" s="584"/>
      <c r="AM96" s="584"/>
      <c r="AN96" s="584"/>
      <c r="AO96" s="584"/>
      <c r="AP96" s="584">
        <f>IF(Table_NFI[[#This Row],[Winter Clothes Adult]]+Table_NFI[[#This Row],[Winter Clothes Children]]+Table_NFI[[#This Row],[Winter Items Other]]+Table_NFI[[#This Row],[Winter Blanket]]&gt;0,1,0)</f>
        <v>0</v>
      </c>
      <c r="AQ96" s="584"/>
      <c r="AR96" s="584"/>
      <c r="AS96" s="584"/>
      <c r="AT96" s="585" t="str">
        <f>IFERROR(VLOOKUP(Table_NFI[[#This Row],[Location]],CL,2,0),"")</f>
        <v/>
      </c>
      <c r="AU96" s="586"/>
      <c r="AV96" s="197"/>
      <c r="DP96" s="569"/>
    </row>
    <row r="97" spans="2:120" ht="18.75" hidden="1" customHeight="1" x14ac:dyDescent="0.3">
      <c r="B97" s="581">
        <v>43007</v>
      </c>
      <c r="C97" s="581" t="str">
        <f>MONTH(Table_NFI[[#This Row],[Distribution Date]]) &amp; "/" &amp; YEAR(Table_NFI[[#This Row],[Distribution Date]])</f>
        <v>9/2017</v>
      </c>
      <c r="D97" s="579" t="s">
        <v>420</v>
      </c>
      <c r="E97" s="579" t="s">
        <v>462</v>
      </c>
      <c r="F97" s="213" t="s">
        <v>378</v>
      </c>
      <c r="G97" s="213" t="s">
        <v>309</v>
      </c>
      <c r="H97" s="579" t="s">
        <v>1551</v>
      </c>
      <c r="I97" s="582"/>
      <c r="J97" s="583"/>
      <c r="K97" s="583"/>
      <c r="L97" s="583">
        <v>4</v>
      </c>
      <c r="M97" s="583">
        <v>4</v>
      </c>
      <c r="N97" s="583">
        <v>6</v>
      </c>
      <c r="O97" s="583">
        <v>4</v>
      </c>
      <c r="P97" s="583">
        <v>4</v>
      </c>
      <c r="Q97" s="583">
        <v>3</v>
      </c>
      <c r="R97" s="583"/>
      <c r="S97" s="583">
        <v>3</v>
      </c>
      <c r="T97" s="583">
        <v>5</v>
      </c>
      <c r="U97" s="583"/>
      <c r="V97" s="583"/>
      <c r="W97" s="583"/>
      <c r="X97" s="583"/>
      <c r="Y97" s="583">
        <v>4</v>
      </c>
      <c r="Z97" s="583"/>
      <c r="AA97" s="583"/>
      <c r="AB97" s="583"/>
      <c r="AC97" s="584"/>
      <c r="AD97" s="584"/>
      <c r="AE97" s="584"/>
      <c r="AF97" s="584"/>
      <c r="AG97" s="584"/>
      <c r="AH97" s="584"/>
      <c r="AI97" s="584"/>
      <c r="AJ97" s="584"/>
      <c r="AK97" s="584"/>
      <c r="AL97" s="584"/>
      <c r="AM97" s="584"/>
      <c r="AN97" s="584"/>
      <c r="AO97" s="584"/>
      <c r="AP97" s="584">
        <f>IF(Table_NFI[[#This Row],[Winter Clothes Adult]]+Table_NFI[[#This Row],[Winter Clothes Children]]+Table_NFI[[#This Row],[Winter Items Other]]+Table_NFI[[#This Row],[Winter Blanket]]&gt;0,1,0)</f>
        <v>0</v>
      </c>
      <c r="AQ97" s="584"/>
      <c r="AR97" s="584"/>
      <c r="AS97" s="584"/>
      <c r="AT97" s="585" t="str">
        <f>IFERROR(VLOOKUP(Table_NFI[[#This Row],[Location]],CL,2,0),"")</f>
        <v/>
      </c>
      <c r="AU97" s="586"/>
      <c r="AV97" s="197"/>
      <c r="DP97" s="569"/>
    </row>
    <row r="98" spans="2:120" ht="18.75" hidden="1" customHeight="1" x14ac:dyDescent="0.3">
      <c r="B98" s="581">
        <v>43007</v>
      </c>
      <c r="C98" s="581" t="str">
        <f>MONTH(Table_NFI[[#This Row],[Distribution Date]]) &amp; "/" &amp; YEAR(Table_NFI[[#This Row],[Distribution Date]])</f>
        <v>9/2017</v>
      </c>
      <c r="D98" s="579" t="s">
        <v>420</v>
      </c>
      <c r="E98" s="579" t="s">
        <v>462</v>
      </c>
      <c r="F98" s="213" t="s">
        <v>378</v>
      </c>
      <c r="G98" s="213" t="s">
        <v>309</v>
      </c>
      <c r="H98" s="579" t="s">
        <v>1552</v>
      </c>
      <c r="I98" s="582"/>
      <c r="J98" s="583"/>
      <c r="K98" s="583"/>
      <c r="L98" s="583">
        <v>3</v>
      </c>
      <c r="M98" s="583">
        <v>3</v>
      </c>
      <c r="N98" s="583">
        <v>6</v>
      </c>
      <c r="O98" s="583">
        <v>3</v>
      </c>
      <c r="P98" s="583">
        <v>8</v>
      </c>
      <c r="Q98" s="583">
        <v>2</v>
      </c>
      <c r="R98" s="583"/>
      <c r="S98" s="583">
        <v>2</v>
      </c>
      <c r="T98" s="583">
        <v>8</v>
      </c>
      <c r="U98" s="583"/>
      <c r="V98" s="583"/>
      <c r="W98" s="583"/>
      <c r="X98" s="583"/>
      <c r="Y98" s="583">
        <v>3</v>
      </c>
      <c r="Z98" s="583"/>
      <c r="AA98" s="583"/>
      <c r="AB98" s="583"/>
      <c r="AC98" s="584"/>
      <c r="AD98" s="584"/>
      <c r="AE98" s="584"/>
      <c r="AF98" s="584"/>
      <c r="AG98" s="584"/>
      <c r="AH98" s="584"/>
      <c r="AI98" s="584"/>
      <c r="AJ98" s="584"/>
      <c r="AK98" s="584"/>
      <c r="AL98" s="584"/>
      <c r="AM98" s="584"/>
      <c r="AN98" s="584"/>
      <c r="AO98" s="584"/>
      <c r="AP98" s="584">
        <f>IF(Table_NFI[[#This Row],[Winter Clothes Adult]]+Table_NFI[[#This Row],[Winter Clothes Children]]+Table_NFI[[#This Row],[Winter Items Other]]+Table_NFI[[#This Row],[Winter Blanket]]&gt;0,1,0)</f>
        <v>0</v>
      </c>
      <c r="AQ98" s="584"/>
      <c r="AR98" s="584"/>
      <c r="AS98" s="584"/>
      <c r="AT98" s="585" t="str">
        <f>IFERROR(VLOOKUP(Table_NFI[[#This Row],[Location]],CL,2,0),"")</f>
        <v/>
      </c>
      <c r="AU98" s="586"/>
      <c r="AV98" s="197"/>
      <c r="DP98" s="569"/>
    </row>
    <row r="99" spans="2:120" ht="18.75" hidden="1" customHeight="1" x14ac:dyDescent="0.3">
      <c r="B99" s="581">
        <v>43008</v>
      </c>
      <c r="C99" s="581" t="str">
        <f>MONTH(Table_NFI[[#This Row],[Distribution Date]]) &amp; "/" &amp; YEAR(Table_NFI[[#This Row],[Distribution Date]])</f>
        <v>9/2017</v>
      </c>
      <c r="D99" s="579" t="s">
        <v>1390</v>
      </c>
      <c r="E99" s="212" t="s">
        <v>1390</v>
      </c>
      <c r="F99" s="579" t="s">
        <v>378</v>
      </c>
      <c r="G99" s="579" t="s">
        <v>1137</v>
      </c>
      <c r="H99" s="579" t="s">
        <v>1548</v>
      </c>
      <c r="I99" s="582"/>
      <c r="J99" s="583">
        <v>31</v>
      </c>
      <c r="K99" s="583"/>
      <c r="L99" s="583"/>
      <c r="M99" s="583"/>
      <c r="N99" s="583"/>
      <c r="O99" s="583"/>
      <c r="P99" s="583"/>
      <c r="Q99" s="583"/>
      <c r="R99" s="583"/>
      <c r="S99" s="583"/>
      <c r="T99" s="583"/>
      <c r="U99" s="583"/>
      <c r="V99" s="583"/>
      <c r="W99" s="583"/>
      <c r="X99" s="583"/>
      <c r="Y99" s="583"/>
      <c r="Z99" s="583"/>
      <c r="AA99" s="583"/>
      <c r="AB99" s="583"/>
      <c r="AC99" s="584"/>
      <c r="AD99" s="584"/>
      <c r="AE99" s="584"/>
      <c r="AF99" s="584"/>
      <c r="AG99" s="584"/>
      <c r="AH99" s="584"/>
      <c r="AI99" s="584"/>
      <c r="AJ99" s="584"/>
      <c r="AK99" s="584"/>
      <c r="AL99" s="584"/>
      <c r="AM99" s="584"/>
      <c r="AN99" s="584"/>
      <c r="AO99" s="584"/>
      <c r="AP99" s="584">
        <f>IF(Table_NFI[[#This Row],[Winter Clothes Adult]]+Table_NFI[[#This Row],[Winter Clothes Children]]+Table_NFI[[#This Row],[Winter Items Other]]+Table_NFI[[#This Row],[Winter Blanket]]&gt;0,1,0)</f>
        <v>0</v>
      </c>
      <c r="AQ99" s="584"/>
      <c r="AR99" s="584"/>
      <c r="AS99" s="584"/>
      <c r="AT99" s="585" t="str">
        <f>IFERROR(VLOOKUP(Table_NFI[[#This Row],[Location]],CL,2,0),"")</f>
        <v/>
      </c>
      <c r="AU99" s="586"/>
      <c r="AV99" s="197"/>
      <c r="DP99" s="569"/>
    </row>
    <row r="100" spans="2:120" ht="18.75" hidden="1" customHeight="1" x14ac:dyDescent="0.3">
      <c r="B100" s="581">
        <v>43010</v>
      </c>
      <c r="C100" s="581" t="str">
        <f>MONTH(Table_NFI[[#This Row],[Distribution Date]]) &amp; "/" &amp; YEAR(Table_NFI[[#This Row],[Distribution Date]])</f>
        <v>10/2017</v>
      </c>
      <c r="D100" s="579" t="s">
        <v>462</v>
      </c>
      <c r="E100" s="579" t="s">
        <v>420</v>
      </c>
      <c r="F100" s="579" t="s">
        <v>378</v>
      </c>
      <c r="G100" s="579" t="s">
        <v>237</v>
      </c>
      <c r="H100" s="235" t="s">
        <v>262</v>
      </c>
      <c r="I100" s="582"/>
      <c r="J100" s="583"/>
      <c r="K100" s="583"/>
      <c r="L100" s="576">
        <v>1</v>
      </c>
      <c r="M100" s="576">
        <v>1</v>
      </c>
      <c r="N100" s="576">
        <v>3</v>
      </c>
      <c r="O100" s="576">
        <v>1</v>
      </c>
      <c r="P100" s="576" t="s">
        <v>541</v>
      </c>
      <c r="Q100" s="576">
        <v>1</v>
      </c>
      <c r="R100" s="583"/>
      <c r="S100" s="576">
        <v>1</v>
      </c>
      <c r="T100" s="576">
        <v>3</v>
      </c>
      <c r="U100" s="583"/>
      <c r="V100" s="583"/>
      <c r="W100" s="583"/>
      <c r="X100" s="583"/>
      <c r="Y100" s="576">
        <v>1</v>
      </c>
      <c r="Z100" s="583"/>
      <c r="AA100" s="583"/>
      <c r="AB100" s="583"/>
      <c r="AC100" s="584"/>
      <c r="AD100" s="584"/>
      <c r="AE100" s="584"/>
      <c r="AF100" s="584"/>
      <c r="AG100" s="584"/>
      <c r="AH100" s="584"/>
      <c r="AI100" s="584"/>
      <c r="AJ100" s="584"/>
      <c r="AK100" s="584"/>
      <c r="AL100" s="584"/>
      <c r="AM100" s="584"/>
      <c r="AN100" s="584"/>
      <c r="AO100" s="584"/>
      <c r="AP100" s="584">
        <f>IF(Table_NFI[[#This Row],[Winter Clothes Adult]]+Table_NFI[[#This Row],[Winter Clothes Children]]+Table_NFI[[#This Row],[Winter Items Other]]+Table_NFI[[#This Row],[Winter Blanket]]&gt;0,1,0)</f>
        <v>0</v>
      </c>
      <c r="AQ100" s="584"/>
      <c r="AR100" s="584"/>
      <c r="AS100" s="584"/>
      <c r="AT100" s="585" t="str">
        <f>IFERROR(VLOOKUP(Table_NFI[[#This Row],[Location]],CL,2,0),"")</f>
        <v>MMR001CMP020</v>
      </c>
      <c r="AU100" s="586"/>
      <c r="AV100" s="197"/>
      <c r="DP100" s="569"/>
    </row>
    <row r="101" spans="2:120" ht="18.75" hidden="1" customHeight="1" x14ac:dyDescent="0.3">
      <c r="B101" s="581">
        <v>43010</v>
      </c>
      <c r="C101" s="581" t="str">
        <f>MONTH(Table_NFI[[#This Row],[Distribution Date]]) &amp; "/" &amp; YEAR(Table_NFI[[#This Row],[Distribution Date]])</f>
        <v>10/2017</v>
      </c>
      <c r="D101" s="579" t="s">
        <v>462</v>
      </c>
      <c r="E101" s="579" t="s">
        <v>420</v>
      </c>
      <c r="F101" s="213" t="s">
        <v>378</v>
      </c>
      <c r="G101" s="213" t="s">
        <v>309</v>
      </c>
      <c r="H101" s="235" t="s">
        <v>1555</v>
      </c>
      <c r="I101" s="582"/>
      <c r="J101" s="583"/>
      <c r="K101" s="583"/>
      <c r="L101" s="576">
        <v>4</v>
      </c>
      <c r="M101" s="576">
        <v>4</v>
      </c>
      <c r="N101" s="576">
        <v>6</v>
      </c>
      <c r="O101" s="576">
        <v>4</v>
      </c>
      <c r="P101" s="576">
        <v>4</v>
      </c>
      <c r="Q101" s="576">
        <v>3</v>
      </c>
      <c r="R101" s="583"/>
      <c r="S101" s="576">
        <v>3</v>
      </c>
      <c r="T101" s="576">
        <v>5</v>
      </c>
      <c r="U101" s="583"/>
      <c r="V101" s="583"/>
      <c r="W101" s="583"/>
      <c r="X101" s="583"/>
      <c r="Y101" s="576">
        <v>4</v>
      </c>
      <c r="Z101" s="583"/>
      <c r="AA101" s="583"/>
      <c r="AB101" s="583"/>
      <c r="AC101" s="584"/>
      <c r="AD101" s="584"/>
      <c r="AE101" s="584"/>
      <c r="AF101" s="584"/>
      <c r="AG101" s="584"/>
      <c r="AH101" s="584"/>
      <c r="AI101" s="584"/>
      <c r="AJ101" s="584"/>
      <c r="AK101" s="584"/>
      <c r="AL101" s="584"/>
      <c r="AM101" s="584"/>
      <c r="AN101" s="584"/>
      <c r="AO101" s="584"/>
      <c r="AP101" s="584">
        <f>IF(Table_NFI[[#This Row],[Winter Clothes Adult]]+Table_NFI[[#This Row],[Winter Clothes Children]]+Table_NFI[[#This Row],[Winter Items Other]]+Table_NFI[[#This Row],[Winter Blanket]]&gt;0,1,0)</f>
        <v>0</v>
      </c>
      <c r="AQ101" s="584"/>
      <c r="AR101" s="584"/>
      <c r="AS101" s="584"/>
      <c r="AT101" s="585" t="str">
        <f>IFERROR(VLOOKUP(Table_NFI[[#This Row],[Location]],CL,2,0),"")</f>
        <v/>
      </c>
      <c r="AU101" s="586"/>
      <c r="AV101" s="197"/>
      <c r="DP101" s="569"/>
    </row>
    <row r="102" spans="2:120" ht="18.75" hidden="1" customHeight="1" x14ac:dyDescent="0.3">
      <c r="B102" s="581">
        <v>43010</v>
      </c>
      <c r="C102" s="581" t="str">
        <f>MONTH(Table_NFI[[#This Row],[Distribution Date]]) &amp; "/" &amp; YEAR(Table_NFI[[#This Row],[Distribution Date]])</f>
        <v>10/2017</v>
      </c>
      <c r="D102" s="579" t="s">
        <v>462</v>
      </c>
      <c r="E102" s="579" t="s">
        <v>420</v>
      </c>
      <c r="F102" s="213" t="s">
        <v>378</v>
      </c>
      <c r="G102" s="213" t="s">
        <v>309</v>
      </c>
      <c r="H102" s="235" t="s">
        <v>1556</v>
      </c>
      <c r="I102" s="582"/>
      <c r="J102" s="583"/>
      <c r="K102" s="583"/>
      <c r="L102" s="576">
        <v>2</v>
      </c>
      <c r="M102" s="576">
        <v>2</v>
      </c>
      <c r="N102" s="576">
        <v>3</v>
      </c>
      <c r="O102" s="576">
        <v>2</v>
      </c>
      <c r="P102" s="576">
        <v>5</v>
      </c>
      <c r="Q102" s="576">
        <v>1</v>
      </c>
      <c r="R102" s="583"/>
      <c r="S102" s="576">
        <v>1</v>
      </c>
      <c r="T102" s="576">
        <v>5</v>
      </c>
      <c r="U102" s="583"/>
      <c r="V102" s="583"/>
      <c r="W102" s="583"/>
      <c r="X102" s="583"/>
      <c r="Y102" s="576">
        <v>2</v>
      </c>
      <c r="Z102" s="583"/>
      <c r="AA102" s="583"/>
      <c r="AB102" s="583"/>
      <c r="AC102" s="584"/>
      <c r="AD102" s="584"/>
      <c r="AE102" s="584"/>
      <c r="AF102" s="584"/>
      <c r="AG102" s="584"/>
      <c r="AH102" s="584"/>
      <c r="AI102" s="584"/>
      <c r="AJ102" s="584"/>
      <c r="AK102" s="584"/>
      <c r="AL102" s="584"/>
      <c r="AM102" s="584"/>
      <c r="AN102" s="584"/>
      <c r="AO102" s="584"/>
      <c r="AP102" s="584">
        <f>IF(Table_NFI[[#This Row],[Winter Clothes Adult]]+Table_NFI[[#This Row],[Winter Clothes Children]]+Table_NFI[[#This Row],[Winter Items Other]]+Table_NFI[[#This Row],[Winter Blanket]]&gt;0,1,0)</f>
        <v>0</v>
      </c>
      <c r="AQ102" s="584"/>
      <c r="AR102" s="584"/>
      <c r="AS102" s="584"/>
      <c r="AT102" s="585" t="str">
        <f>IFERROR(VLOOKUP(Table_NFI[[#This Row],[Location]],CL,2,0),"")</f>
        <v/>
      </c>
      <c r="AU102" s="586"/>
      <c r="AV102" s="197"/>
      <c r="DP102" s="569"/>
    </row>
    <row r="103" spans="2:120" ht="18.75" hidden="1" customHeight="1" x14ac:dyDescent="0.3">
      <c r="B103" s="575">
        <v>43025</v>
      </c>
      <c r="C103" s="575" t="str">
        <f>MONTH(Table_NFI[[#This Row],[Distribution Date]]) &amp; "/" &amp; YEAR(Table_NFI[[#This Row],[Distribution Date]])</f>
        <v>10/2017</v>
      </c>
      <c r="D103" s="213" t="s">
        <v>1481</v>
      </c>
      <c r="E103" s="213" t="s">
        <v>420</v>
      </c>
      <c r="F103" s="213" t="s">
        <v>378</v>
      </c>
      <c r="G103" s="212" t="s">
        <v>185</v>
      </c>
      <c r="H103" s="213" t="s">
        <v>196</v>
      </c>
      <c r="I103" s="197"/>
      <c r="J103" s="576"/>
      <c r="K103" s="576"/>
      <c r="L103" s="576"/>
      <c r="M103" s="576"/>
      <c r="N103" s="576"/>
      <c r="O103" s="576"/>
      <c r="P103" s="576">
        <v>3170</v>
      </c>
      <c r="Q103" s="576"/>
      <c r="R103" s="576"/>
      <c r="S103" s="576"/>
      <c r="T103" s="576"/>
      <c r="U103" s="576"/>
      <c r="V103" s="576">
        <v>2536</v>
      </c>
      <c r="W103" s="576"/>
      <c r="X103" s="576"/>
      <c r="Y103" s="576"/>
      <c r="Z103" s="576"/>
      <c r="AA103" s="576"/>
      <c r="AB103" s="576"/>
      <c r="AC103" s="577"/>
      <c r="AD103" s="577"/>
      <c r="AE103" s="577"/>
      <c r="AF103" s="577"/>
      <c r="AG103" s="577"/>
      <c r="AH103" s="577"/>
      <c r="AI103" s="577"/>
      <c r="AJ103" s="577"/>
      <c r="AK103" s="577"/>
      <c r="AL103" s="577"/>
      <c r="AM103" s="577"/>
      <c r="AN103" s="577"/>
      <c r="AO103" s="577"/>
      <c r="AP103" s="577">
        <f>IF(Table_NFI[[#This Row],[Winter Clothes Adult]]+Table_NFI[[#This Row],[Winter Clothes Children]]+Table_NFI[[#This Row],[Winter Items Other]]+Table_NFI[[#This Row],[Winter Blanket]]&gt;0,1,0)</f>
        <v>1</v>
      </c>
      <c r="AQ103" s="577"/>
      <c r="AR103" s="577"/>
      <c r="AS103" s="577"/>
      <c r="AT103" s="220" t="str">
        <f>IFERROR(VLOOKUP(Table_NFI[[#This Row],[Location]],CL,2,0),"")</f>
        <v>MMR001CMP121</v>
      </c>
      <c r="AU103" s="197" t="s">
        <v>1560</v>
      </c>
      <c r="AV103" s="197"/>
      <c r="DP103" s="569"/>
    </row>
    <row r="104" spans="2:120" ht="18.75" hidden="1" customHeight="1" x14ac:dyDescent="0.3">
      <c r="B104" s="575">
        <v>43026</v>
      </c>
      <c r="C104" s="575" t="str">
        <f>MONTH(Table_NFI[[#This Row],[Distribution Date]]) &amp; "/" &amp; YEAR(Table_NFI[[#This Row],[Distribution Date]])</f>
        <v>10/2017</v>
      </c>
      <c r="D104" s="213" t="s">
        <v>1481</v>
      </c>
      <c r="E104" s="213" t="s">
        <v>420</v>
      </c>
      <c r="F104" s="213" t="s">
        <v>378</v>
      </c>
      <c r="G104" s="213" t="s">
        <v>309</v>
      </c>
      <c r="H104" s="213" t="s">
        <v>353</v>
      </c>
      <c r="I104" s="197"/>
      <c r="J104" s="576"/>
      <c r="K104" s="576"/>
      <c r="L104" s="576"/>
      <c r="M104" s="576"/>
      <c r="N104" s="576"/>
      <c r="O104" s="576"/>
      <c r="P104" s="576">
        <v>182</v>
      </c>
      <c r="Q104" s="576"/>
      <c r="R104" s="576"/>
      <c r="S104" s="576"/>
      <c r="T104" s="576"/>
      <c r="U104" s="576">
        <v>137</v>
      </c>
      <c r="V104" s="576">
        <v>264</v>
      </c>
      <c r="W104" s="576"/>
      <c r="X104" s="576"/>
      <c r="Y104" s="576"/>
      <c r="Z104" s="576"/>
      <c r="AA104" s="576"/>
      <c r="AB104" s="576"/>
      <c r="AC104" s="577"/>
      <c r="AD104" s="577"/>
      <c r="AE104" s="577"/>
      <c r="AF104" s="577"/>
      <c r="AG104" s="577"/>
      <c r="AH104" s="577"/>
      <c r="AI104" s="577"/>
      <c r="AJ104" s="577"/>
      <c r="AK104" s="577"/>
      <c r="AL104" s="577"/>
      <c r="AM104" s="577"/>
      <c r="AN104" s="577"/>
      <c r="AO104" s="577"/>
      <c r="AP104" s="577">
        <f>IF(Table_NFI[[#This Row],[Winter Clothes Adult]]+Table_NFI[[#This Row],[Winter Clothes Children]]+Table_NFI[[#This Row],[Winter Items Other]]+Table_NFI[[#This Row],[Winter Blanket]]&gt;0,1,0)</f>
        <v>1</v>
      </c>
      <c r="AQ104" s="577"/>
      <c r="AR104" s="577"/>
      <c r="AS104" s="577"/>
      <c r="AT104" s="220" t="str">
        <f>IFERROR(VLOOKUP(Table_NFI[[#This Row],[Location]],CL,2,0),"")</f>
        <v>MMR001CMP160</v>
      </c>
      <c r="AU104" s="197" t="s">
        <v>1560</v>
      </c>
      <c r="AV104" s="197"/>
      <c r="DP104" s="569"/>
    </row>
    <row r="105" spans="2:120" ht="18.75" hidden="1" customHeight="1" x14ac:dyDescent="0.3">
      <c r="B105" s="575">
        <v>43027</v>
      </c>
      <c r="C105" s="575" t="str">
        <f>MONTH(Table_NFI[[#This Row],[Distribution Date]]) &amp; "/" &amp; YEAR(Table_NFI[[#This Row],[Distribution Date]])</f>
        <v>10/2017</v>
      </c>
      <c r="D105" s="213" t="s">
        <v>1481</v>
      </c>
      <c r="E105" s="213" t="s">
        <v>420</v>
      </c>
      <c r="F105" s="213" t="s">
        <v>378</v>
      </c>
      <c r="G105" s="212" t="s">
        <v>185</v>
      </c>
      <c r="H105" s="213" t="s">
        <v>192</v>
      </c>
      <c r="I105" s="197"/>
      <c r="J105" s="576"/>
      <c r="K105" s="576"/>
      <c r="L105" s="576"/>
      <c r="M105" s="576"/>
      <c r="N105" s="576"/>
      <c r="O105" s="576"/>
      <c r="P105" s="576">
        <v>196</v>
      </c>
      <c r="Q105" s="576"/>
      <c r="R105" s="576"/>
      <c r="S105" s="576"/>
      <c r="T105" s="576"/>
      <c r="U105" s="576">
        <v>195</v>
      </c>
      <c r="V105" s="576">
        <v>214</v>
      </c>
      <c r="W105" s="576"/>
      <c r="X105" s="576"/>
      <c r="Y105" s="576"/>
      <c r="Z105" s="576"/>
      <c r="AA105" s="576"/>
      <c r="AB105" s="576"/>
      <c r="AC105" s="577"/>
      <c r="AD105" s="577"/>
      <c r="AE105" s="577"/>
      <c r="AF105" s="577"/>
      <c r="AG105" s="577"/>
      <c r="AH105" s="577"/>
      <c r="AI105" s="577"/>
      <c r="AJ105" s="577"/>
      <c r="AK105" s="577"/>
      <c r="AL105" s="577"/>
      <c r="AM105" s="577"/>
      <c r="AN105" s="577"/>
      <c r="AO105" s="577"/>
      <c r="AP105" s="577">
        <f>IF(Table_NFI[[#This Row],[Winter Clothes Adult]]+Table_NFI[[#This Row],[Winter Clothes Children]]+Table_NFI[[#This Row],[Winter Items Other]]+Table_NFI[[#This Row],[Winter Blanket]]&gt;0,1,0)</f>
        <v>1</v>
      </c>
      <c r="AQ105" s="577"/>
      <c r="AR105" s="577"/>
      <c r="AS105" s="577"/>
      <c r="AT105" s="220" t="str">
        <f>IFERROR(VLOOKUP(Table_NFI[[#This Row],[Location]],CL,2,0),"")</f>
        <v>MMR001CMP123</v>
      </c>
      <c r="AU105" s="197" t="s">
        <v>1560</v>
      </c>
      <c r="AV105" s="197"/>
      <c r="DP105" s="569"/>
    </row>
    <row r="106" spans="2:120" ht="18.75" hidden="1" customHeight="1" x14ac:dyDescent="0.3">
      <c r="B106" s="575">
        <v>43028</v>
      </c>
      <c r="C106" s="575" t="str">
        <f>MONTH(Table_NFI[[#This Row],[Distribution Date]]) &amp; "/" &amp; YEAR(Table_NFI[[#This Row],[Distribution Date]])</f>
        <v>10/2017</v>
      </c>
      <c r="D106" s="213" t="s">
        <v>1481</v>
      </c>
      <c r="E106" s="213" t="s">
        <v>420</v>
      </c>
      <c r="F106" s="213" t="s">
        <v>378</v>
      </c>
      <c r="G106" s="213" t="s">
        <v>309</v>
      </c>
      <c r="H106" s="213" t="s">
        <v>333</v>
      </c>
      <c r="I106" s="197"/>
      <c r="J106" s="576"/>
      <c r="K106" s="576"/>
      <c r="L106" s="576"/>
      <c r="M106" s="576"/>
      <c r="N106" s="576"/>
      <c r="O106" s="576"/>
      <c r="P106" s="576">
        <v>304</v>
      </c>
      <c r="Q106" s="576"/>
      <c r="R106" s="576"/>
      <c r="S106" s="576"/>
      <c r="T106" s="576"/>
      <c r="U106" s="576">
        <v>348</v>
      </c>
      <c r="V106" s="576">
        <v>269</v>
      </c>
      <c r="W106" s="576"/>
      <c r="X106" s="576"/>
      <c r="Y106" s="576"/>
      <c r="Z106" s="576"/>
      <c r="AA106" s="576"/>
      <c r="AB106" s="576"/>
      <c r="AC106" s="577"/>
      <c r="AD106" s="577"/>
      <c r="AE106" s="577"/>
      <c r="AF106" s="577"/>
      <c r="AG106" s="577"/>
      <c r="AH106" s="577"/>
      <c r="AI106" s="577"/>
      <c r="AJ106" s="577"/>
      <c r="AK106" s="577"/>
      <c r="AL106" s="577"/>
      <c r="AM106" s="577"/>
      <c r="AN106" s="577"/>
      <c r="AO106" s="577"/>
      <c r="AP106" s="577">
        <f>IF(Table_NFI[[#This Row],[Winter Clothes Adult]]+Table_NFI[[#This Row],[Winter Clothes Children]]+Table_NFI[[#This Row],[Winter Items Other]]+Table_NFI[[#This Row],[Winter Blanket]]&gt;0,1,0)</f>
        <v>1</v>
      </c>
      <c r="AQ106" s="577"/>
      <c r="AR106" s="577"/>
      <c r="AS106" s="577"/>
      <c r="AT106" s="220" t="str">
        <f>IFERROR(VLOOKUP(Table_NFI[[#This Row],[Location]],CL,2,0),"")</f>
        <v>MMR001CMP113</v>
      </c>
      <c r="AU106" s="197" t="s">
        <v>1560</v>
      </c>
      <c r="AV106" s="197"/>
      <c r="DP106" s="569"/>
    </row>
    <row r="107" spans="2:120" ht="18.75" hidden="1" customHeight="1" x14ac:dyDescent="0.3">
      <c r="B107" s="575">
        <v>43035</v>
      </c>
      <c r="C107" s="575" t="str">
        <f>MONTH(Table_NFI[[#This Row],[Distribution Date]]) &amp; "/" &amp; YEAR(Table_NFI[[#This Row],[Distribution Date]])</f>
        <v>10/2017</v>
      </c>
      <c r="D107" s="213" t="s">
        <v>1264</v>
      </c>
      <c r="E107" s="235" t="s">
        <v>1264</v>
      </c>
      <c r="F107" s="213" t="s">
        <v>378</v>
      </c>
      <c r="G107" s="212" t="s">
        <v>185</v>
      </c>
      <c r="H107" s="589" t="s">
        <v>1561</v>
      </c>
      <c r="I107" s="197">
        <v>69</v>
      </c>
      <c r="J107" s="576"/>
      <c r="K107" s="576"/>
      <c r="L107" s="576"/>
      <c r="M107" s="576"/>
      <c r="N107" s="576"/>
      <c r="O107" s="576"/>
      <c r="P107" s="576"/>
      <c r="Q107" s="576"/>
      <c r="R107" s="576"/>
      <c r="S107" s="576"/>
      <c r="T107" s="576"/>
      <c r="U107" s="576"/>
      <c r="V107" s="576"/>
      <c r="W107" s="576"/>
      <c r="X107" s="576"/>
      <c r="Y107" s="576"/>
      <c r="Z107" s="576"/>
      <c r="AA107" s="576"/>
      <c r="AB107" s="576"/>
      <c r="AC107" s="577"/>
      <c r="AD107" s="577"/>
      <c r="AE107" s="577"/>
      <c r="AF107" s="577"/>
      <c r="AG107" s="577"/>
      <c r="AH107" s="577"/>
      <c r="AI107" s="577"/>
      <c r="AJ107" s="577"/>
      <c r="AK107" s="577"/>
      <c r="AL107" s="577"/>
      <c r="AM107" s="577"/>
      <c r="AN107" s="577"/>
      <c r="AO107" s="577"/>
      <c r="AP107" s="577">
        <f>IF(Table_NFI[[#This Row],[Winter Clothes Adult]]+Table_NFI[[#This Row],[Winter Clothes Children]]+Table_NFI[[#This Row],[Winter Items Other]]+Table_NFI[[#This Row],[Winter Blanket]]&gt;0,1,0)</f>
        <v>0</v>
      </c>
      <c r="AQ107" s="577"/>
      <c r="AR107" s="577"/>
      <c r="AS107" s="577"/>
      <c r="AT107" s="220" t="str">
        <f>IFERROR(VLOOKUP(Table_NFI[[#This Row],[Location]],CL,2,0),"")</f>
        <v/>
      </c>
      <c r="AU107" s="197"/>
      <c r="AV107" s="197"/>
      <c r="DP107" s="569"/>
    </row>
    <row r="108" spans="2:120" ht="18.75" hidden="1" customHeight="1" x14ac:dyDescent="0.3">
      <c r="B108" s="575">
        <v>43066</v>
      </c>
      <c r="C108" s="575" t="str">
        <f>MONTH(Table_NFI[[#This Row],[Distribution Date]]) &amp; "/" &amp; YEAR(Table_NFI[[#This Row],[Distribution Date]])</f>
        <v>11/2017</v>
      </c>
      <c r="D108" s="213" t="s">
        <v>1588</v>
      </c>
      <c r="E108" s="213" t="s">
        <v>1588</v>
      </c>
      <c r="F108" s="213" t="s">
        <v>506</v>
      </c>
      <c r="G108" s="213" t="s">
        <v>297</v>
      </c>
      <c r="H108" s="213" t="s">
        <v>1281</v>
      </c>
      <c r="I108" s="197"/>
      <c r="J108" s="576"/>
      <c r="K108" s="576"/>
      <c r="L108" s="576"/>
      <c r="M108" s="576"/>
      <c r="N108" s="576"/>
      <c r="O108" s="576"/>
      <c r="P108" s="576"/>
      <c r="Q108" s="576"/>
      <c r="R108" s="576"/>
      <c r="S108" s="576"/>
      <c r="T108" s="576"/>
      <c r="U108" s="576"/>
      <c r="V108" s="576"/>
      <c r="W108" s="576">
        <v>60</v>
      </c>
      <c r="X108" s="576"/>
      <c r="Y108" s="576"/>
      <c r="Z108" s="576"/>
      <c r="AA108" s="576"/>
      <c r="AB108" s="576"/>
      <c r="AC108" s="577"/>
      <c r="AD108" s="577"/>
      <c r="AE108" s="577"/>
      <c r="AF108" s="577"/>
      <c r="AG108" s="577"/>
      <c r="AH108" s="577"/>
      <c r="AI108" s="577"/>
      <c r="AJ108" s="577"/>
      <c r="AK108" s="577"/>
      <c r="AL108" s="577"/>
      <c r="AM108" s="577"/>
      <c r="AN108" s="577"/>
      <c r="AO108" s="577"/>
      <c r="AP108" s="577">
        <f>IF(Table_NFI[[#This Row],[Winter Clothes Adult]]+Table_NFI[[#This Row],[Winter Clothes Children]]+Table_NFI[[#This Row],[Winter Items Other]]+Table_NFI[[#This Row],[Winter Blanket]]&gt;0,1,0)</f>
        <v>1</v>
      </c>
      <c r="AQ108" s="577"/>
      <c r="AR108" s="577"/>
      <c r="AS108" s="577"/>
      <c r="AT108" s="220" t="str">
        <f>IFERROR(VLOOKUP(Table_NFI[[#This Row],[Location]],CL,2,0),"")</f>
        <v>MMR015CMP248</v>
      </c>
      <c r="AU108" s="197"/>
      <c r="AV108" s="197"/>
      <c r="DP108" s="569"/>
    </row>
    <row r="109" spans="2:120" ht="18.75" hidden="1" customHeight="1" x14ac:dyDescent="0.3">
      <c r="B109" s="575">
        <v>43066</v>
      </c>
      <c r="C109" s="575" t="str">
        <f>MONTH(Table_NFI[[#This Row],[Distribution Date]]) &amp; "/" &amp; YEAR(Table_NFI[[#This Row],[Distribution Date]])</f>
        <v>11/2017</v>
      </c>
      <c r="D109" s="213" t="s">
        <v>1588</v>
      </c>
      <c r="E109" s="213" t="s">
        <v>1588</v>
      </c>
      <c r="F109" s="213" t="s">
        <v>506</v>
      </c>
      <c r="G109" s="213" t="s">
        <v>297</v>
      </c>
      <c r="H109" s="213" t="s">
        <v>759</v>
      </c>
      <c r="I109" s="197"/>
      <c r="J109" s="576"/>
      <c r="K109" s="576"/>
      <c r="L109" s="576"/>
      <c r="M109" s="576"/>
      <c r="N109" s="576"/>
      <c r="O109" s="576"/>
      <c r="P109" s="576"/>
      <c r="Q109" s="576"/>
      <c r="R109" s="576"/>
      <c r="S109" s="576"/>
      <c r="T109" s="576"/>
      <c r="U109" s="576"/>
      <c r="V109" s="576"/>
      <c r="W109" s="576">
        <v>46</v>
      </c>
      <c r="X109" s="576"/>
      <c r="Y109" s="576"/>
      <c r="Z109" s="576"/>
      <c r="AA109" s="576"/>
      <c r="AB109" s="576"/>
      <c r="AC109" s="577"/>
      <c r="AD109" s="577"/>
      <c r="AE109" s="577"/>
      <c r="AF109" s="577"/>
      <c r="AG109" s="577"/>
      <c r="AH109" s="577"/>
      <c r="AI109" s="577"/>
      <c r="AJ109" s="577"/>
      <c r="AK109" s="577"/>
      <c r="AL109" s="577"/>
      <c r="AM109" s="577"/>
      <c r="AN109" s="577"/>
      <c r="AO109" s="577"/>
      <c r="AP109" s="577">
        <f>IF(Table_NFI[[#This Row],[Winter Clothes Adult]]+Table_NFI[[#This Row],[Winter Clothes Children]]+Table_NFI[[#This Row],[Winter Items Other]]+Table_NFI[[#This Row],[Winter Blanket]]&gt;0,1,0)</f>
        <v>1</v>
      </c>
      <c r="AQ109" s="577"/>
      <c r="AR109" s="577"/>
      <c r="AS109" s="577"/>
      <c r="AT109" s="220" t="str">
        <f>IFERROR(VLOOKUP(Table_NFI[[#This Row],[Location]],CL,2,0),"")</f>
        <v>MMR015CMP014</v>
      </c>
      <c r="AU109" s="197"/>
      <c r="AV109" s="197"/>
      <c r="DP109" s="569"/>
    </row>
    <row r="110" spans="2:120" ht="18.75" hidden="1" customHeight="1" x14ac:dyDescent="0.3">
      <c r="B110" s="575">
        <v>43067</v>
      </c>
      <c r="C110" s="575" t="str">
        <f>MONTH(Table_NFI[[#This Row],[Distribution Date]]) &amp; "/" &amp; YEAR(Table_NFI[[#This Row],[Distribution Date]])</f>
        <v>11/2017</v>
      </c>
      <c r="D110" s="213" t="s">
        <v>420</v>
      </c>
      <c r="E110" s="213" t="s">
        <v>462</v>
      </c>
      <c r="F110" s="213" t="s">
        <v>378</v>
      </c>
      <c r="G110" s="213" t="s">
        <v>237</v>
      </c>
      <c r="H110" s="213" t="s">
        <v>1527</v>
      </c>
      <c r="I110" s="197"/>
      <c r="J110" s="576"/>
      <c r="K110" s="576"/>
      <c r="L110" s="576"/>
      <c r="M110" s="576"/>
      <c r="N110" s="576"/>
      <c r="O110" s="576"/>
      <c r="P110" s="576">
        <v>50</v>
      </c>
      <c r="Q110" s="576"/>
      <c r="R110" s="576"/>
      <c r="S110" s="576"/>
      <c r="T110" s="576"/>
      <c r="U110" s="576">
        <v>36</v>
      </c>
      <c r="V110" s="576">
        <v>13</v>
      </c>
      <c r="W110" s="576"/>
      <c r="X110" s="576"/>
      <c r="Y110" s="576"/>
      <c r="Z110" s="576"/>
      <c r="AA110" s="576"/>
      <c r="AB110" s="576"/>
      <c r="AC110" s="197"/>
      <c r="AD110" s="577"/>
      <c r="AE110" s="577"/>
      <c r="AF110" s="577"/>
      <c r="AG110" s="577"/>
      <c r="AH110" s="577"/>
      <c r="AI110" s="577"/>
      <c r="AJ110" s="577"/>
      <c r="AK110" s="577"/>
      <c r="AL110" s="577"/>
      <c r="AM110" s="577"/>
      <c r="AN110" s="577"/>
      <c r="AO110" s="577"/>
      <c r="AP110" s="577">
        <f>IF(Table_NFI[[#This Row],[Winter Clothes Adult]]+Table_NFI[[#This Row],[Winter Clothes Children]]+Table_NFI[[#This Row],[Winter Items Other]]+Table_NFI[[#This Row],[Winter Blanket]]&gt;0,1,0)</f>
        <v>1</v>
      </c>
      <c r="AQ110" s="577"/>
      <c r="AR110" s="577"/>
      <c r="AS110" s="577"/>
      <c r="AT110" s="220" t="str">
        <f>IFERROR(VLOOKUP(Table_NFI[[#This Row],[Location]],CL,2,0),"")</f>
        <v/>
      </c>
      <c r="AU110" s="197"/>
      <c r="AV110" s="197"/>
      <c r="DP110" s="569"/>
    </row>
    <row r="111" spans="2:120" ht="18.75" hidden="1" customHeight="1" x14ac:dyDescent="0.3">
      <c r="B111" s="575">
        <v>43068</v>
      </c>
      <c r="C111" s="575" t="str">
        <f>MONTH(Table_NFI[[#This Row],[Distribution Date]]) &amp; "/" &amp; YEAR(Table_NFI[[#This Row],[Distribution Date]])</f>
        <v>11/2017</v>
      </c>
      <c r="D111" s="213" t="s">
        <v>1588</v>
      </c>
      <c r="E111" s="213" t="s">
        <v>1588</v>
      </c>
      <c r="F111" s="213" t="s">
        <v>506</v>
      </c>
      <c r="G111" s="213" t="s">
        <v>1589</v>
      </c>
      <c r="H111" s="213" t="s">
        <v>903</v>
      </c>
      <c r="I111" s="197"/>
      <c r="J111" s="576"/>
      <c r="K111" s="576"/>
      <c r="L111" s="576"/>
      <c r="M111" s="576"/>
      <c r="N111" s="576"/>
      <c r="O111" s="576"/>
      <c r="P111" s="576"/>
      <c r="Q111" s="576"/>
      <c r="R111" s="576"/>
      <c r="S111" s="576"/>
      <c r="T111" s="576"/>
      <c r="U111" s="576"/>
      <c r="V111" s="576"/>
      <c r="W111" s="576">
        <v>43</v>
      </c>
      <c r="X111" s="576"/>
      <c r="Y111" s="576"/>
      <c r="Z111" s="576"/>
      <c r="AA111" s="576"/>
      <c r="AB111" s="576"/>
      <c r="AC111" s="577"/>
      <c r="AD111" s="577"/>
      <c r="AE111" s="577"/>
      <c r="AF111" s="577"/>
      <c r="AG111" s="577"/>
      <c r="AH111" s="577"/>
      <c r="AI111" s="577"/>
      <c r="AJ111" s="577"/>
      <c r="AK111" s="577"/>
      <c r="AL111" s="577"/>
      <c r="AM111" s="577"/>
      <c r="AN111" s="577"/>
      <c r="AO111" s="577"/>
      <c r="AP111" s="577">
        <f>IF(Table_NFI[[#This Row],[Winter Clothes Adult]]+Table_NFI[[#This Row],[Winter Clothes Children]]+Table_NFI[[#This Row],[Winter Items Other]]+Table_NFI[[#This Row],[Winter Blanket]]&gt;0,1,0)</f>
        <v>1</v>
      </c>
      <c r="AQ111" s="577"/>
      <c r="AR111" s="577"/>
      <c r="AS111" s="577"/>
      <c r="AT111" s="220" t="str">
        <f>IFERROR(VLOOKUP(Table_NFI[[#This Row],[Location]],CL,2,0),"")</f>
        <v>MMR015CMP213</v>
      </c>
      <c r="AU111" s="197"/>
      <c r="AV111" s="197"/>
      <c r="DP111" s="569"/>
    </row>
    <row r="112" spans="2:120" ht="18.75" hidden="1" customHeight="1" x14ac:dyDescent="0.3">
      <c r="B112" s="575">
        <v>43068</v>
      </c>
      <c r="C112" s="575" t="str">
        <f>MONTH(Table_NFI[[#This Row],[Distribution Date]]) &amp; "/" &amp; YEAR(Table_NFI[[#This Row],[Distribution Date]])</f>
        <v>11/2017</v>
      </c>
      <c r="D112" s="213" t="s">
        <v>1588</v>
      </c>
      <c r="E112" s="213" t="s">
        <v>1588</v>
      </c>
      <c r="F112" s="213" t="s">
        <v>506</v>
      </c>
      <c r="G112" s="213" t="s">
        <v>1589</v>
      </c>
      <c r="H112" s="213" t="s">
        <v>913</v>
      </c>
      <c r="I112" s="197"/>
      <c r="J112" s="576"/>
      <c r="K112" s="576"/>
      <c r="L112" s="576"/>
      <c r="M112" s="576"/>
      <c r="N112" s="576"/>
      <c r="O112" s="576"/>
      <c r="P112" s="576"/>
      <c r="Q112" s="576"/>
      <c r="R112" s="576"/>
      <c r="S112" s="576"/>
      <c r="T112" s="576"/>
      <c r="U112" s="576"/>
      <c r="V112" s="576"/>
      <c r="W112" s="576">
        <v>22</v>
      </c>
      <c r="X112" s="576"/>
      <c r="Y112" s="576"/>
      <c r="Z112" s="576"/>
      <c r="AA112" s="576"/>
      <c r="AB112" s="576"/>
      <c r="AC112" s="577"/>
      <c r="AD112" s="577"/>
      <c r="AE112" s="577"/>
      <c r="AF112" s="577"/>
      <c r="AG112" s="577"/>
      <c r="AH112" s="577"/>
      <c r="AI112" s="577"/>
      <c r="AJ112" s="577"/>
      <c r="AK112" s="577"/>
      <c r="AL112" s="577"/>
      <c r="AM112" s="577"/>
      <c r="AN112" s="577"/>
      <c r="AO112" s="577"/>
      <c r="AP112" s="577">
        <f>IF(Table_NFI[[#This Row],[Winter Clothes Adult]]+Table_NFI[[#This Row],[Winter Clothes Children]]+Table_NFI[[#This Row],[Winter Items Other]]+Table_NFI[[#This Row],[Winter Blanket]]&gt;0,1,0)</f>
        <v>1</v>
      </c>
      <c r="AQ112" s="577"/>
      <c r="AR112" s="577"/>
      <c r="AS112" s="577"/>
      <c r="AT112" s="220" t="str">
        <f>IFERROR(VLOOKUP(Table_NFI[[#This Row],[Location]],CL,2,0),"")</f>
        <v>MMR015CMP216</v>
      </c>
      <c r="AU112" s="197"/>
      <c r="AV112" s="197"/>
      <c r="DP112" s="569"/>
    </row>
    <row r="113" spans="2:120" ht="18.75" hidden="1" customHeight="1" x14ac:dyDescent="0.3">
      <c r="B113" s="575">
        <v>43075</v>
      </c>
      <c r="C113" s="575" t="str">
        <f>MONTH(Table_NFI[[#This Row],[Distribution Date]]) &amp; "/" &amp; YEAR(Table_NFI[[#This Row],[Distribution Date]])</f>
        <v>12/2017</v>
      </c>
      <c r="D113" s="213" t="s">
        <v>825</v>
      </c>
      <c r="E113" s="213"/>
      <c r="F113" s="213" t="s">
        <v>378</v>
      </c>
      <c r="G113" s="213" t="s">
        <v>185</v>
      </c>
      <c r="H113" s="213" t="s">
        <v>186</v>
      </c>
      <c r="I113" s="197"/>
      <c r="J113" s="576"/>
      <c r="K113" s="576"/>
      <c r="L113" s="576"/>
      <c r="M113" s="576"/>
      <c r="N113" s="576"/>
      <c r="O113" s="576"/>
      <c r="P113" s="576"/>
      <c r="Q113" s="576"/>
      <c r="R113" s="576"/>
      <c r="S113" s="576"/>
      <c r="T113" s="576"/>
      <c r="U113" s="576"/>
      <c r="V113" s="576"/>
      <c r="W113" s="576"/>
      <c r="X113" s="576">
        <v>93</v>
      </c>
      <c r="Y113" s="576"/>
      <c r="Z113" s="576"/>
      <c r="AA113" s="576"/>
      <c r="AB113" s="576"/>
      <c r="AC113" s="577"/>
      <c r="AD113" s="577"/>
      <c r="AE113" s="577"/>
      <c r="AF113" s="577"/>
      <c r="AG113" s="577"/>
      <c r="AH113" s="577"/>
      <c r="AI113" s="577"/>
      <c r="AJ113" s="577"/>
      <c r="AK113" s="577"/>
      <c r="AL113" s="577"/>
      <c r="AM113" s="577"/>
      <c r="AN113" s="577"/>
      <c r="AO113" s="577"/>
      <c r="AP113" s="577">
        <f>IF(Table_NFI[[#This Row],[Winter Clothes Adult]]+Table_NFI[[#This Row],[Winter Clothes Children]]+Table_NFI[[#This Row],[Winter Items Other]]+Table_NFI[[#This Row],[Winter Blanket]]&gt;0,1,0)</f>
        <v>1</v>
      </c>
      <c r="AQ113" s="577"/>
      <c r="AR113" s="577"/>
      <c r="AS113" s="577"/>
      <c r="AT113" s="220" t="str">
        <f>IFERROR(VLOOKUP(Table_NFI[[#This Row],[Location]],CL,2,0),"")</f>
        <v>MMR001CMP071</v>
      </c>
      <c r="AU113" s="197"/>
      <c r="AV113" s="197"/>
      <c r="DP113" s="569"/>
    </row>
    <row r="114" spans="2:120" ht="18.75" hidden="1" customHeight="1" x14ac:dyDescent="0.3">
      <c r="B114" s="575">
        <v>43075</v>
      </c>
      <c r="C114" s="575" t="str">
        <f>MONTH(Table_NFI[[#This Row],[Distribution Date]]) &amp; "/" &amp; YEAR(Table_NFI[[#This Row],[Distribution Date]])</f>
        <v>12/2017</v>
      </c>
      <c r="D114" s="213" t="s">
        <v>825</v>
      </c>
      <c r="E114" s="213"/>
      <c r="F114" s="213" t="s">
        <v>378</v>
      </c>
      <c r="G114" s="213" t="s">
        <v>185</v>
      </c>
      <c r="H114" s="213" t="s">
        <v>223</v>
      </c>
      <c r="I114" s="197"/>
      <c r="J114" s="576"/>
      <c r="K114" s="576"/>
      <c r="L114" s="576"/>
      <c r="M114" s="576"/>
      <c r="N114" s="576"/>
      <c r="O114" s="576"/>
      <c r="P114" s="576"/>
      <c r="Q114" s="576"/>
      <c r="R114" s="576"/>
      <c r="S114" s="576"/>
      <c r="T114" s="576"/>
      <c r="U114" s="576"/>
      <c r="V114" s="576"/>
      <c r="W114" s="576"/>
      <c r="X114" s="576">
        <v>143</v>
      </c>
      <c r="Y114" s="576"/>
      <c r="Z114" s="576"/>
      <c r="AA114" s="576"/>
      <c r="AB114" s="576"/>
      <c r="AC114" s="577"/>
      <c r="AD114" s="577"/>
      <c r="AE114" s="577"/>
      <c r="AF114" s="577"/>
      <c r="AG114" s="577"/>
      <c r="AH114" s="577"/>
      <c r="AI114" s="577"/>
      <c r="AJ114" s="577"/>
      <c r="AK114" s="577"/>
      <c r="AL114" s="577"/>
      <c r="AM114" s="577"/>
      <c r="AN114" s="577"/>
      <c r="AO114" s="577"/>
      <c r="AP114" s="577">
        <f>IF(Table_NFI[[#This Row],[Winter Clothes Adult]]+Table_NFI[[#This Row],[Winter Clothes Children]]+Table_NFI[[#This Row],[Winter Items Other]]+Table_NFI[[#This Row],[Winter Blanket]]&gt;0,1,0)</f>
        <v>1</v>
      </c>
      <c r="AQ114" s="577"/>
      <c r="AR114" s="577"/>
      <c r="AS114" s="577"/>
      <c r="AT114" s="220" t="str">
        <f>IFERROR(VLOOKUP(Table_NFI[[#This Row],[Location]],CL,2,0),"")</f>
        <v>MMR001CMP069</v>
      </c>
      <c r="AU114" s="197"/>
      <c r="AV114" s="197"/>
      <c r="DP114" s="569"/>
    </row>
    <row r="115" spans="2:120" ht="18.75" hidden="1" customHeight="1" x14ac:dyDescent="0.3">
      <c r="B115" s="575">
        <v>43075</v>
      </c>
      <c r="C115" s="575" t="str">
        <f>MONTH(Table_NFI[[#This Row],[Distribution Date]]) &amp; "/" &amp; YEAR(Table_NFI[[#This Row],[Distribution Date]])</f>
        <v>12/2017</v>
      </c>
      <c r="D115" s="213" t="s">
        <v>825</v>
      </c>
      <c r="E115" s="213"/>
      <c r="F115" s="213" t="s">
        <v>378</v>
      </c>
      <c r="G115" s="213" t="s">
        <v>185</v>
      </c>
      <c r="H115" s="213" t="s">
        <v>190</v>
      </c>
      <c r="I115" s="197"/>
      <c r="J115" s="576"/>
      <c r="K115" s="576"/>
      <c r="L115" s="576"/>
      <c r="M115" s="576"/>
      <c r="N115" s="576"/>
      <c r="O115" s="576"/>
      <c r="P115" s="576"/>
      <c r="Q115" s="576"/>
      <c r="R115" s="576"/>
      <c r="S115" s="576"/>
      <c r="T115" s="576"/>
      <c r="U115" s="576"/>
      <c r="V115" s="576"/>
      <c r="W115" s="576"/>
      <c r="X115" s="576">
        <v>474</v>
      </c>
      <c r="Y115" s="576"/>
      <c r="Z115" s="576"/>
      <c r="AA115" s="576"/>
      <c r="AB115" s="576"/>
      <c r="AC115" s="577"/>
      <c r="AD115" s="577"/>
      <c r="AE115" s="577"/>
      <c r="AF115" s="577"/>
      <c r="AG115" s="577"/>
      <c r="AH115" s="577"/>
      <c r="AI115" s="577"/>
      <c r="AJ115" s="577"/>
      <c r="AK115" s="577"/>
      <c r="AL115" s="577"/>
      <c r="AM115" s="577"/>
      <c r="AN115" s="577"/>
      <c r="AO115" s="577"/>
      <c r="AP115" s="577">
        <f>IF(Table_NFI[[#This Row],[Winter Clothes Adult]]+Table_NFI[[#This Row],[Winter Clothes Children]]+Table_NFI[[#This Row],[Winter Items Other]]+Table_NFI[[#This Row],[Winter Blanket]]&gt;0,1,0)</f>
        <v>1</v>
      </c>
      <c r="AQ115" s="577"/>
      <c r="AR115" s="577"/>
      <c r="AS115" s="577"/>
      <c r="AT115" s="220" t="str">
        <f>IFERROR(VLOOKUP(Table_NFI[[#This Row],[Location]],CL,2,0),"")</f>
        <v>MMR001CMP070</v>
      </c>
      <c r="AU115" s="197"/>
    </row>
    <row r="116" spans="2:120" ht="18.75" hidden="1" customHeight="1" x14ac:dyDescent="0.3">
      <c r="B116" s="575">
        <v>43075</v>
      </c>
      <c r="C116" s="575" t="str">
        <f>MONTH(Table_NFI[[#This Row],[Distribution Date]]) &amp; "/" &amp; YEAR(Table_NFI[[#This Row],[Distribution Date]])</f>
        <v>12/2017</v>
      </c>
      <c r="D116" s="213" t="s">
        <v>825</v>
      </c>
      <c r="E116" s="213"/>
      <c r="F116" s="213" t="s">
        <v>378</v>
      </c>
      <c r="G116" s="213" t="s">
        <v>185</v>
      </c>
      <c r="H116" s="213" t="s">
        <v>229</v>
      </c>
      <c r="I116" s="197"/>
      <c r="J116" s="576"/>
      <c r="K116" s="576"/>
      <c r="L116" s="576"/>
      <c r="M116" s="576"/>
      <c r="N116" s="576"/>
      <c r="O116" s="576"/>
      <c r="P116" s="576"/>
      <c r="Q116" s="576"/>
      <c r="R116" s="576"/>
      <c r="S116" s="576"/>
      <c r="T116" s="576"/>
      <c r="U116" s="576"/>
      <c r="V116" s="576"/>
      <c r="W116" s="576"/>
      <c r="X116" s="576">
        <v>122</v>
      </c>
      <c r="Y116" s="576"/>
      <c r="Z116" s="576"/>
      <c r="AA116" s="576"/>
      <c r="AB116" s="576"/>
      <c r="AC116" s="577"/>
      <c r="AD116" s="577"/>
      <c r="AE116" s="577"/>
      <c r="AF116" s="577"/>
      <c r="AG116" s="577"/>
      <c r="AH116" s="577"/>
      <c r="AI116" s="577"/>
      <c r="AJ116" s="577"/>
      <c r="AK116" s="577"/>
      <c r="AL116" s="577"/>
      <c r="AM116" s="577"/>
      <c r="AN116" s="577"/>
      <c r="AO116" s="577"/>
      <c r="AP116" s="577">
        <f>IF(Table_NFI[[#This Row],[Winter Clothes Adult]]+Table_NFI[[#This Row],[Winter Clothes Children]]+Table_NFI[[#This Row],[Winter Items Other]]+Table_NFI[[#This Row],[Winter Blanket]]&gt;0,1,0)</f>
        <v>1</v>
      </c>
      <c r="AQ116" s="577"/>
      <c r="AR116" s="577"/>
      <c r="AS116" s="577"/>
      <c r="AT116" s="220" t="str">
        <f>IFERROR(VLOOKUP(Table_NFI[[#This Row],[Location]],CL,2,0),"")</f>
        <v>MMR001CMP072</v>
      </c>
      <c r="AU116" s="197"/>
    </row>
    <row r="117" spans="2:120" ht="18.75" hidden="1" customHeight="1" x14ac:dyDescent="0.3">
      <c r="B117" s="575">
        <v>43075</v>
      </c>
      <c r="C117" s="575" t="str">
        <f>MONTH(Table_NFI[[#This Row],[Distribution Date]]) &amp; "/" &amp; YEAR(Table_NFI[[#This Row],[Distribution Date]])</f>
        <v>12/2017</v>
      </c>
      <c r="D117" s="213" t="s">
        <v>825</v>
      </c>
      <c r="E117" s="213"/>
      <c r="F117" s="213" t="s">
        <v>378</v>
      </c>
      <c r="G117" s="213" t="s">
        <v>185</v>
      </c>
      <c r="H117" s="213" t="s">
        <v>225</v>
      </c>
      <c r="I117" s="197"/>
      <c r="J117" s="576"/>
      <c r="K117" s="576"/>
      <c r="L117" s="576"/>
      <c r="M117" s="576"/>
      <c r="N117" s="576"/>
      <c r="O117" s="576"/>
      <c r="P117" s="576"/>
      <c r="Q117" s="576"/>
      <c r="R117" s="576"/>
      <c r="S117" s="576"/>
      <c r="T117" s="576"/>
      <c r="U117" s="576"/>
      <c r="V117" s="576"/>
      <c r="W117" s="576"/>
      <c r="X117" s="576">
        <v>101</v>
      </c>
      <c r="Y117" s="576"/>
      <c r="Z117" s="576"/>
      <c r="AA117" s="576"/>
      <c r="AB117" s="576"/>
      <c r="AC117" s="577"/>
      <c r="AD117" s="577"/>
      <c r="AE117" s="577"/>
      <c r="AF117" s="577"/>
      <c r="AG117" s="577"/>
      <c r="AH117" s="577"/>
      <c r="AI117" s="577"/>
      <c r="AJ117" s="577"/>
      <c r="AK117" s="577"/>
      <c r="AL117" s="577"/>
      <c r="AM117" s="577"/>
      <c r="AN117" s="577"/>
      <c r="AO117" s="577"/>
      <c r="AP117" s="577">
        <f>IF(Table_NFI[[#This Row],[Winter Clothes Adult]]+Table_NFI[[#This Row],[Winter Clothes Children]]+Table_NFI[[#This Row],[Winter Items Other]]+Table_NFI[[#This Row],[Winter Blanket]]&gt;0,1,0)</f>
        <v>1</v>
      </c>
      <c r="AQ117" s="577"/>
      <c r="AR117" s="577"/>
      <c r="AS117" s="577"/>
      <c r="AT117" s="220" t="str">
        <f>IFERROR(VLOOKUP(Table_NFI[[#This Row],[Location]],CL,2,0),"")</f>
        <v>MMR001CMP073</v>
      </c>
      <c r="AU117" s="197"/>
    </row>
    <row r="118" spans="2:120" ht="18.75" hidden="1" customHeight="1" x14ac:dyDescent="0.3">
      <c r="B118" s="575">
        <v>43078</v>
      </c>
      <c r="C118" s="575" t="str">
        <f>MONTH(Table_NFI[[#This Row],[Distribution Date]]) &amp; "/" &amp; YEAR(Table_NFI[[#This Row],[Distribution Date]])</f>
        <v>12/2017</v>
      </c>
      <c r="D118" s="213" t="s">
        <v>1588</v>
      </c>
      <c r="E118" s="213" t="s">
        <v>1588</v>
      </c>
      <c r="F118" s="213" t="s">
        <v>506</v>
      </c>
      <c r="G118" s="213" t="s">
        <v>297</v>
      </c>
      <c r="H118" s="213" t="s">
        <v>1590</v>
      </c>
      <c r="I118" s="197"/>
      <c r="J118" s="576"/>
      <c r="K118" s="576"/>
      <c r="L118" s="576">
        <v>15</v>
      </c>
      <c r="M118" s="576"/>
      <c r="N118" s="576"/>
      <c r="O118" s="576"/>
      <c r="P118" s="576"/>
      <c r="Q118" s="576"/>
      <c r="R118" s="576"/>
      <c r="S118" s="576"/>
      <c r="T118" s="576"/>
      <c r="U118" s="576"/>
      <c r="V118" s="576"/>
      <c r="W118" s="576">
        <v>15</v>
      </c>
      <c r="X118" s="576"/>
      <c r="Y118" s="576"/>
      <c r="Z118" s="576"/>
      <c r="AA118" s="576"/>
      <c r="AB118" s="576"/>
      <c r="AC118" s="577"/>
      <c r="AD118" s="577"/>
      <c r="AE118" s="577"/>
      <c r="AF118" s="577"/>
      <c r="AG118" s="577"/>
      <c r="AH118" s="577"/>
      <c r="AI118" s="577"/>
      <c r="AJ118" s="577"/>
      <c r="AK118" s="577"/>
      <c r="AL118" s="577"/>
      <c r="AM118" s="577"/>
      <c r="AN118" s="577"/>
      <c r="AO118" s="577"/>
      <c r="AP118" s="577">
        <f>IF(Table_NFI[[#This Row],[Winter Clothes Adult]]+Table_NFI[[#This Row],[Winter Clothes Children]]+Table_NFI[[#This Row],[Winter Items Other]]+Table_NFI[[#This Row],[Winter Blanket]]&gt;0,1,0)</f>
        <v>1</v>
      </c>
      <c r="AQ118" s="577"/>
      <c r="AR118" s="577"/>
      <c r="AS118" s="577"/>
      <c r="AT118" s="220" t="str">
        <f>IFERROR(VLOOKUP(Table_NFI[[#This Row],[Location]],CL,2,0),"")</f>
        <v/>
      </c>
      <c r="AU118" s="197"/>
    </row>
    <row r="119" spans="2:120" ht="18.75" customHeight="1" x14ac:dyDescent="0.3">
      <c r="B119" s="587">
        <v>43090</v>
      </c>
      <c r="C119" s="587" t="str">
        <f>MONTH(Table_NFI[[#This Row],[Distribution Date]]) &amp; "/" &amp; YEAR(Table_NFI[[#This Row],[Distribution Date]])</f>
        <v>12/2017</v>
      </c>
      <c r="D119" s="213" t="s">
        <v>1608</v>
      </c>
      <c r="E119" s="213" t="s">
        <v>1609</v>
      </c>
      <c r="F119" s="213" t="s">
        <v>506</v>
      </c>
      <c r="G119" s="213" t="s">
        <v>1594</v>
      </c>
      <c r="H119" s="213" t="s">
        <v>917</v>
      </c>
      <c r="I119" s="197"/>
      <c r="J119" s="576"/>
      <c r="K119" s="576">
        <v>10</v>
      </c>
      <c r="L119" s="576"/>
      <c r="M119" s="576"/>
      <c r="N119" s="576"/>
      <c r="O119" s="576"/>
      <c r="P119" s="576"/>
      <c r="Q119" s="576"/>
      <c r="R119" s="576"/>
      <c r="S119" s="576"/>
      <c r="T119" s="576"/>
      <c r="U119" s="576"/>
      <c r="V119" s="576"/>
      <c r="W119" s="576"/>
      <c r="X119" s="576"/>
      <c r="Y119" s="576"/>
      <c r="Z119" s="576"/>
      <c r="AA119" s="576"/>
      <c r="AB119" s="576"/>
      <c r="AC119" s="577"/>
      <c r="AD119" s="577"/>
      <c r="AE119" s="577"/>
      <c r="AF119" s="577"/>
      <c r="AG119" s="577"/>
      <c r="AH119" s="577"/>
      <c r="AI119" s="577"/>
      <c r="AJ119" s="577"/>
      <c r="AK119" s="577"/>
      <c r="AL119" s="577"/>
      <c r="AM119" s="577"/>
      <c r="AN119" s="577"/>
      <c r="AO119" s="577"/>
      <c r="AP119" s="577">
        <f>IF(Table_NFI[[#This Row],[Winter Clothes Adult]]+Table_NFI[[#This Row],[Winter Clothes Children]]+Table_NFI[[#This Row],[Winter Items Other]]+Table_NFI[[#This Row],[Winter Blanket]]&gt;0,1,0)</f>
        <v>0</v>
      </c>
      <c r="AQ119" s="577"/>
      <c r="AR119" s="577"/>
      <c r="AS119" s="577"/>
      <c r="AT119" s="220" t="str">
        <f>IFERROR(VLOOKUP(Table_NFI[[#This Row],[Location]],CL,2,0),"")</f>
        <v>MMR015CMP215</v>
      </c>
      <c r="AU119" s="197"/>
    </row>
    <row r="120" spans="2:120" ht="18.75" customHeight="1" x14ac:dyDescent="0.3">
      <c r="B120" s="587">
        <v>43095</v>
      </c>
      <c r="C120" s="587" t="str">
        <f>MONTH(Table_NFI[[#This Row],[Distribution Date]]) &amp; "/" &amp; YEAR(Table_NFI[[#This Row],[Distribution Date]])</f>
        <v>12/2017</v>
      </c>
      <c r="D120" s="213" t="s">
        <v>1608</v>
      </c>
      <c r="E120" s="213" t="s">
        <v>1609</v>
      </c>
      <c r="F120" s="213" t="s">
        <v>506</v>
      </c>
      <c r="G120" s="213" t="s">
        <v>1594</v>
      </c>
      <c r="H120" s="213" t="s">
        <v>917</v>
      </c>
      <c r="I120" s="197"/>
      <c r="J120" s="576"/>
      <c r="K120" s="576">
        <v>8</v>
      </c>
      <c r="L120" s="576"/>
      <c r="M120" s="576"/>
      <c r="N120" s="576"/>
      <c r="O120" s="576"/>
      <c r="P120" s="576"/>
      <c r="Q120" s="576"/>
      <c r="R120" s="576"/>
      <c r="S120" s="576"/>
      <c r="T120" s="576"/>
      <c r="U120" s="576"/>
      <c r="V120" s="576"/>
      <c r="W120" s="576"/>
      <c r="X120" s="576"/>
      <c r="Y120" s="576"/>
      <c r="Z120" s="576"/>
      <c r="AA120" s="576"/>
      <c r="AB120" s="576"/>
      <c r="AC120" s="577"/>
      <c r="AD120" s="577"/>
      <c r="AE120" s="577"/>
      <c r="AF120" s="577"/>
      <c r="AG120" s="577"/>
      <c r="AH120" s="577"/>
      <c r="AI120" s="577"/>
      <c r="AJ120" s="577"/>
      <c r="AK120" s="577"/>
      <c r="AL120" s="577"/>
      <c r="AM120" s="577"/>
      <c r="AN120" s="577"/>
      <c r="AO120" s="577"/>
      <c r="AP120" s="577">
        <f>IF(Table_NFI[[#This Row],[Winter Clothes Adult]]+Table_NFI[[#This Row],[Winter Clothes Children]]+Table_NFI[[#This Row],[Winter Items Other]]+Table_NFI[[#This Row],[Winter Blanket]]&gt;0,1,0)</f>
        <v>0</v>
      </c>
      <c r="AQ120" s="577"/>
      <c r="AR120" s="577"/>
      <c r="AS120" s="577"/>
      <c r="AT120" s="220" t="str">
        <f>IFERROR(VLOOKUP(Table_NFI[[#This Row],[Location]],CL,2,0),"")</f>
        <v>MMR015CMP215</v>
      </c>
      <c r="AU120" s="197"/>
    </row>
    <row r="121" spans="2:120" ht="18.75" hidden="1" customHeight="1" x14ac:dyDescent="0.3">
      <c r="B121" s="587">
        <v>43096</v>
      </c>
      <c r="C121" s="587" t="str">
        <f>MONTH(Table_NFI[[#This Row],[Distribution Date]]) &amp; "/" &amp; YEAR(Table_NFI[[#This Row],[Distribution Date]])</f>
        <v>12/2017</v>
      </c>
      <c r="D121" s="213" t="s">
        <v>825</v>
      </c>
      <c r="E121" s="213"/>
      <c r="F121" s="213" t="s">
        <v>378</v>
      </c>
      <c r="G121" s="213" t="s">
        <v>5</v>
      </c>
      <c r="H121" s="213" t="s">
        <v>1471</v>
      </c>
      <c r="I121" s="197"/>
      <c r="J121" s="576"/>
      <c r="K121" s="576"/>
      <c r="L121" s="576"/>
      <c r="M121" s="576"/>
      <c r="N121" s="576"/>
      <c r="O121" s="576"/>
      <c r="P121" s="576"/>
      <c r="Q121" s="576"/>
      <c r="R121" s="576"/>
      <c r="S121" s="576"/>
      <c r="T121" s="576"/>
      <c r="U121" s="576"/>
      <c r="V121" s="576"/>
      <c r="W121" s="576"/>
      <c r="X121" s="576">
        <v>257</v>
      </c>
      <c r="Y121" s="576"/>
      <c r="Z121" s="576"/>
      <c r="AA121" s="576"/>
      <c r="AB121" s="576"/>
      <c r="AC121" s="577"/>
      <c r="AD121" s="577"/>
      <c r="AE121" s="577"/>
      <c r="AF121" s="577"/>
      <c r="AG121" s="577"/>
      <c r="AH121" s="577"/>
      <c r="AI121" s="577"/>
      <c r="AJ121" s="577"/>
      <c r="AK121" s="577"/>
      <c r="AL121" s="577"/>
      <c r="AM121" s="577"/>
      <c r="AN121" s="577"/>
      <c r="AO121" s="577"/>
      <c r="AP121" s="577">
        <f>IF(Table_NFI[[#This Row],[Winter Clothes Adult]]+Table_NFI[[#This Row],[Winter Clothes Children]]+Table_NFI[[#This Row],[Winter Items Other]]+Table_NFI[[#This Row],[Winter Blanket]]&gt;0,1,0)</f>
        <v>1</v>
      </c>
      <c r="AQ121" s="577"/>
      <c r="AR121" s="577"/>
      <c r="AS121" s="577"/>
      <c r="AT121" s="220" t="str">
        <f>IFERROR(VLOOKUP(Table_NFI[[#This Row],[Location]],CL,2,0),"")</f>
        <v/>
      </c>
      <c r="AU121" s="197"/>
    </row>
    <row r="122" spans="2:120" ht="18.75" hidden="1" customHeight="1" x14ac:dyDescent="0.3">
      <c r="B122" s="587">
        <v>43096</v>
      </c>
      <c r="C122" s="587" t="str">
        <f>MONTH(Table_NFI[[#This Row],[Distribution Date]]) &amp; "/" &amp; YEAR(Table_NFI[[#This Row],[Distribution Date]])</f>
        <v>12/2017</v>
      </c>
      <c r="D122" s="213" t="s">
        <v>825</v>
      </c>
      <c r="E122" s="213"/>
      <c r="F122" s="213" t="s">
        <v>378</v>
      </c>
      <c r="G122" s="213" t="s">
        <v>5</v>
      </c>
      <c r="H122" s="213" t="s">
        <v>18</v>
      </c>
      <c r="I122" s="197"/>
      <c r="J122" s="576"/>
      <c r="K122" s="576"/>
      <c r="L122" s="576"/>
      <c r="M122" s="576"/>
      <c r="N122" s="576"/>
      <c r="O122" s="576"/>
      <c r="P122" s="576"/>
      <c r="Q122" s="576"/>
      <c r="R122" s="576"/>
      <c r="S122" s="576"/>
      <c r="T122" s="576"/>
      <c r="U122" s="576"/>
      <c r="V122" s="576"/>
      <c r="W122" s="576"/>
      <c r="X122" s="576">
        <v>130</v>
      </c>
      <c r="Y122" s="576"/>
      <c r="Z122" s="576"/>
      <c r="AA122" s="576"/>
      <c r="AB122" s="576"/>
      <c r="AC122" s="577"/>
      <c r="AD122" s="577"/>
      <c r="AE122" s="577"/>
      <c r="AF122" s="577"/>
      <c r="AG122" s="577"/>
      <c r="AH122" s="577"/>
      <c r="AI122" s="577"/>
      <c r="AJ122" s="577"/>
      <c r="AK122" s="577"/>
      <c r="AL122" s="577"/>
      <c r="AM122" s="577"/>
      <c r="AN122" s="577"/>
      <c r="AO122" s="577"/>
      <c r="AP122" s="577">
        <f>IF(Table_NFI[[#This Row],[Winter Clothes Adult]]+Table_NFI[[#This Row],[Winter Clothes Children]]+Table_NFI[[#This Row],[Winter Items Other]]+Table_NFI[[#This Row],[Winter Blanket]]&gt;0,1,0)</f>
        <v>1</v>
      </c>
      <c r="AQ122" s="577"/>
      <c r="AR122" s="577"/>
      <c r="AS122" s="577"/>
      <c r="AT122" s="220" t="str">
        <f>IFERROR(VLOOKUP(Table_NFI[[#This Row],[Location]],CL,2,0),"")</f>
        <v>MMR001CMP049</v>
      </c>
      <c r="AU122" s="197"/>
    </row>
    <row r="123" spans="2:120" ht="18.75" hidden="1" customHeight="1" x14ac:dyDescent="0.3">
      <c r="B123" s="587">
        <v>43096</v>
      </c>
      <c r="C123" s="587" t="str">
        <f>MONTH(Table_NFI[[#This Row],[Distribution Date]]) &amp; "/" &amp; YEAR(Table_NFI[[#This Row],[Distribution Date]])</f>
        <v>12/2017</v>
      </c>
      <c r="D123" s="213" t="s">
        <v>825</v>
      </c>
      <c r="E123" s="213"/>
      <c r="F123" s="213" t="s">
        <v>378</v>
      </c>
      <c r="G123" s="213" t="s">
        <v>5</v>
      </c>
      <c r="H123" s="213" t="s">
        <v>1479</v>
      </c>
      <c r="I123" s="197"/>
      <c r="J123" s="576"/>
      <c r="K123" s="576"/>
      <c r="L123" s="576"/>
      <c r="M123" s="576"/>
      <c r="N123" s="576"/>
      <c r="O123" s="576"/>
      <c r="P123" s="576"/>
      <c r="Q123" s="576"/>
      <c r="R123" s="576"/>
      <c r="S123" s="576"/>
      <c r="T123" s="576"/>
      <c r="U123" s="576"/>
      <c r="V123" s="576"/>
      <c r="W123" s="576"/>
      <c r="X123" s="576">
        <v>21</v>
      </c>
      <c r="Y123" s="576"/>
      <c r="Z123" s="576"/>
      <c r="AA123" s="576"/>
      <c r="AB123" s="576"/>
      <c r="AC123" s="577"/>
      <c r="AD123" s="577"/>
      <c r="AE123" s="577"/>
      <c r="AF123" s="577"/>
      <c r="AG123" s="577"/>
      <c r="AH123" s="577"/>
      <c r="AI123" s="577"/>
      <c r="AJ123" s="577"/>
      <c r="AK123" s="577"/>
      <c r="AL123" s="577"/>
      <c r="AM123" s="577"/>
      <c r="AN123" s="577"/>
      <c r="AO123" s="577"/>
      <c r="AP123" s="577">
        <f>IF(Table_NFI[[#This Row],[Winter Clothes Adult]]+Table_NFI[[#This Row],[Winter Clothes Children]]+Table_NFI[[#This Row],[Winter Items Other]]+Table_NFI[[#This Row],[Winter Blanket]]&gt;0,1,0)</f>
        <v>1</v>
      </c>
      <c r="AQ123" s="577"/>
      <c r="AR123" s="577"/>
      <c r="AS123" s="577"/>
      <c r="AT123" s="220" t="str">
        <f>IFERROR(VLOOKUP(Table_NFI[[#This Row],[Location]],CL,2,0),"")</f>
        <v/>
      </c>
      <c r="AU123" s="197"/>
    </row>
    <row r="124" spans="2:120" ht="18.75" hidden="1" customHeight="1" x14ac:dyDescent="0.3">
      <c r="B124" s="587">
        <v>43096</v>
      </c>
      <c r="C124" s="587" t="str">
        <f>MONTH(Table_NFI[[#This Row],[Distribution Date]]) &amp; "/" &amp; YEAR(Table_NFI[[#This Row],[Distribution Date]])</f>
        <v>12/2017</v>
      </c>
      <c r="D124" s="213" t="s">
        <v>825</v>
      </c>
      <c r="E124" s="213"/>
      <c r="F124" s="213" t="s">
        <v>378</v>
      </c>
      <c r="G124" s="213" t="s">
        <v>5</v>
      </c>
      <c r="H124" s="213" t="s">
        <v>364</v>
      </c>
      <c r="I124" s="197"/>
      <c r="J124" s="576"/>
      <c r="K124" s="576"/>
      <c r="L124" s="576"/>
      <c r="M124" s="576"/>
      <c r="N124" s="576"/>
      <c r="O124" s="576"/>
      <c r="P124" s="576"/>
      <c r="Q124" s="576"/>
      <c r="R124" s="576"/>
      <c r="S124" s="576"/>
      <c r="T124" s="576"/>
      <c r="U124" s="576"/>
      <c r="V124" s="576"/>
      <c r="W124" s="576"/>
      <c r="X124" s="576">
        <v>144</v>
      </c>
      <c r="Y124" s="576"/>
      <c r="Z124" s="576"/>
      <c r="AA124" s="576"/>
      <c r="AB124" s="576"/>
      <c r="AC124" s="577"/>
      <c r="AD124" s="577"/>
      <c r="AE124" s="577"/>
      <c r="AF124" s="577"/>
      <c r="AG124" s="577"/>
      <c r="AH124" s="577"/>
      <c r="AI124" s="577"/>
      <c r="AJ124" s="577"/>
      <c r="AK124" s="577"/>
      <c r="AL124" s="577"/>
      <c r="AM124" s="577"/>
      <c r="AN124" s="577"/>
      <c r="AO124" s="577"/>
      <c r="AP124" s="577">
        <f>IF(Table_NFI[[#This Row],[Winter Clothes Adult]]+Table_NFI[[#This Row],[Winter Clothes Children]]+Table_NFI[[#This Row],[Winter Items Other]]+Table_NFI[[#This Row],[Winter Blanket]]&gt;0,1,0)</f>
        <v>1</v>
      </c>
      <c r="AQ124" s="577"/>
      <c r="AR124" s="577"/>
      <c r="AS124" s="577"/>
      <c r="AT124" s="220" t="str">
        <f>IFERROR(VLOOKUP(Table_NFI[[#This Row],[Location]],CL,2,0),"")</f>
        <v>MMR001CMP193</v>
      </c>
      <c r="AU124" s="197"/>
    </row>
    <row r="125" spans="2:120" ht="18.75" hidden="1" customHeight="1" x14ac:dyDescent="0.3">
      <c r="B125" s="587">
        <v>43096</v>
      </c>
      <c r="C125" s="587" t="str">
        <f>MONTH(Table_NFI[[#This Row],[Distribution Date]]) &amp; "/" &amp; YEAR(Table_NFI[[#This Row],[Distribution Date]])</f>
        <v>12/2017</v>
      </c>
      <c r="D125" s="213" t="s">
        <v>825</v>
      </c>
      <c r="E125" s="213"/>
      <c r="F125" s="213" t="s">
        <v>378</v>
      </c>
      <c r="G125" s="213" t="s">
        <v>5</v>
      </c>
      <c r="H125" s="213" t="s">
        <v>24</v>
      </c>
      <c r="I125" s="197"/>
      <c r="J125" s="576"/>
      <c r="K125" s="576"/>
      <c r="L125" s="576"/>
      <c r="M125" s="576"/>
      <c r="N125" s="576"/>
      <c r="O125" s="576"/>
      <c r="P125" s="576"/>
      <c r="Q125" s="576"/>
      <c r="R125" s="576"/>
      <c r="S125" s="576"/>
      <c r="T125" s="576"/>
      <c r="U125" s="576"/>
      <c r="V125" s="576"/>
      <c r="W125" s="576"/>
      <c r="X125" s="576">
        <v>20</v>
      </c>
      <c r="Y125" s="576"/>
      <c r="Z125" s="576"/>
      <c r="AA125" s="576"/>
      <c r="AB125" s="576"/>
      <c r="AC125" s="577"/>
      <c r="AD125" s="577"/>
      <c r="AE125" s="577"/>
      <c r="AF125" s="577"/>
      <c r="AG125" s="577"/>
      <c r="AH125" s="577"/>
      <c r="AI125" s="577"/>
      <c r="AJ125" s="577"/>
      <c r="AK125" s="577"/>
      <c r="AL125" s="577"/>
      <c r="AM125" s="577"/>
      <c r="AN125" s="577"/>
      <c r="AO125" s="577"/>
      <c r="AP125" s="577">
        <f>IF(Table_NFI[[#This Row],[Winter Clothes Adult]]+Table_NFI[[#This Row],[Winter Clothes Children]]+Table_NFI[[#This Row],[Winter Items Other]]+Table_NFI[[#This Row],[Winter Blanket]]&gt;0,1,0)</f>
        <v>1</v>
      </c>
      <c r="AQ125" s="577"/>
      <c r="AR125" s="577"/>
      <c r="AS125" s="577"/>
      <c r="AT125" s="220" t="str">
        <f>IFERROR(VLOOKUP(Table_NFI[[#This Row],[Location]],CL,2,0),"")</f>
        <v>MMR001CMP055</v>
      </c>
      <c r="AU125" s="197"/>
    </row>
    <row r="126" spans="2:120" ht="18.75" hidden="1" customHeight="1" x14ac:dyDescent="0.3">
      <c r="B126" s="587">
        <v>43096</v>
      </c>
      <c r="C126" s="587" t="str">
        <f>MONTH(Table_NFI[[#This Row],[Distribution Date]]) &amp; "/" &amp; YEAR(Table_NFI[[#This Row],[Distribution Date]])</f>
        <v>12/2017</v>
      </c>
      <c r="D126" s="213" t="s">
        <v>825</v>
      </c>
      <c r="E126" s="213"/>
      <c r="F126" s="213" t="s">
        <v>378</v>
      </c>
      <c r="G126" s="213" t="s">
        <v>5</v>
      </c>
      <c r="H126" s="213" t="s">
        <v>26</v>
      </c>
      <c r="I126" s="197"/>
      <c r="J126" s="576"/>
      <c r="K126" s="576"/>
      <c r="L126" s="576"/>
      <c r="M126" s="576"/>
      <c r="N126" s="576"/>
      <c r="O126" s="576"/>
      <c r="P126" s="576"/>
      <c r="Q126" s="576"/>
      <c r="R126" s="576"/>
      <c r="S126" s="576"/>
      <c r="T126" s="576"/>
      <c r="U126" s="576"/>
      <c r="V126" s="576"/>
      <c r="W126" s="576"/>
      <c r="X126" s="576">
        <v>14</v>
      </c>
      <c r="Y126" s="576"/>
      <c r="Z126" s="576"/>
      <c r="AA126" s="576"/>
      <c r="AB126" s="576"/>
      <c r="AC126" s="577"/>
      <c r="AD126" s="577"/>
      <c r="AE126" s="577"/>
      <c r="AF126" s="577"/>
      <c r="AG126" s="577"/>
      <c r="AH126" s="577"/>
      <c r="AI126" s="577"/>
      <c r="AJ126" s="577"/>
      <c r="AK126" s="577"/>
      <c r="AL126" s="577"/>
      <c r="AM126" s="577"/>
      <c r="AN126" s="577"/>
      <c r="AO126" s="577"/>
      <c r="AP126" s="577">
        <f>IF(Table_NFI[[#This Row],[Winter Clothes Adult]]+Table_NFI[[#This Row],[Winter Clothes Children]]+Table_NFI[[#This Row],[Winter Items Other]]+Table_NFI[[#This Row],[Winter Blanket]]&gt;0,1,0)</f>
        <v>1</v>
      </c>
      <c r="AQ126" s="577"/>
      <c r="AR126" s="577"/>
      <c r="AS126" s="577"/>
      <c r="AT126" s="220" t="str">
        <f>IFERROR(VLOOKUP(Table_NFI[[#This Row],[Location]],CL,2,0),"")</f>
        <v>MMR001CMP053</v>
      </c>
      <c r="AU126" s="197"/>
    </row>
    <row r="127" spans="2:120" ht="18.75" hidden="1" customHeight="1" x14ac:dyDescent="0.3">
      <c r="B127" s="587">
        <v>43096</v>
      </c>
      <c r="C127" s="587" t="str">
        <f>MONTH(Table_NFI[[#This Row],[Distribution Date]]) &amp; "/" &amp; YEAR(Table_NFI[[#This Row],[Distribution Date]])</f>
        <v>12/2017</v>
      </c>
      <c r="D127" s="213" t="s">
        <v>825</v>
      </c>
      <c r="E127" s="213"/>
      <c r="F127" s="213" t="s">
        <v>378</v>
      </c>
      <c r="G127" s="213" t="s">
        <v>5</v>
      </c>
      <c r="H127" s="213" t="s">
        <v>8</v>
      </c>
      <c r="I127" s="197"/>
      <c r="J127" s="576"/>
      <c r="K127" s="576"/>
      <c r="L127" s="576"/>
      <c r="M127" s="576"/>
      <c r="N127" s="576"/>
      <c r="O127" s="576"/>
      <c r="P127" s="576"/>
      <c r="Q127" s="576"/>
      <c r="R127" s="576"/>
      <c r="S127" s="576"/>
      <c r="T127" s="576"/>
      <c r="U127" s="576"/>
      <c r="V127" s="576"/>
      <c r="W127" s="576"/>
      <c r="X127" s="576">
        <v>13</v>
      </c>
      <c r="Y127" s="576"/>
      <c r="Z127" s="576"/>
      <c r="AA127" s="576"/>
      <c r="AB127" s="576"/>
      <c r="AC127" s="577"/>
      <c r="AD127" s="577"/>
      <c r="AE127" s="577"/>
      <c r="AF127" s="577"/>
      <c r="AG127" s="577"/>
      <c r="AH127" s="577"/>
      <c r="AI127" s="577"/>
      <c r="AJ127" s="577"/>
      <c r="AK127" s="577"/>
      <c r="AL127" s="577"/>
      <c r="AM127" s="577"/>
      <c r="AN127" s="577"/>
      <c r="AO127" s="577"/>
      <c r="AP127" s="577">
        <f>IF(Table_NFI[[#This Row],[Winter Clothes Adult]]+Table_NFI[[#This Row],[Winter Clothes Children]]+Table_NFI[[#This Row],[Winter Items Other]]+Table_NFI[[#This Row],[Winter Blanket]]&gt;0,1,0)</f>
        <v>1</v>
      </c>
      <c r="AQ127" s="577"/>
      <c r="AR127" s="577"/>
      <c r="AS127" s="577"/>
      <c r="AT127" s="220" t="str">
        <f>IFERROR(VLOOKUP(Table_NFI[[#This Row],[Location]],CL,2,0),"")</f>
        <v>MMR001CMP051</v>
      </c>
      <c r="AU127" s="197"/>
    </row>
    <row r="128" spans="2:120" ht="18.75" hidden="1" customHeight="1" x14ac:dyDescent="0.3">
      <c r="B128" s="587">
        <v>43096</v>
      </c>
      <c r="C128" s="587" t="str">
        <f>MONTH(Table_NFI[[#This Row],[Distribution Date]]) &amp; "/" &amp; YEAR(Table_NFI[[#This Row],[Distribution Date]])</f>
        <v>12/2017</v>
      </c>
      <c r="D128" s="213" t="s">
        <v>825</v>
      </c>
      <c r="E128" s="213"/>
      <c r="F128" s="213" t="s">
        <v>378</v>
      </c>
      <c r="G128" s="213" t="s">
        <v>5</v>
      </c>
      <c r="H128" s="213" t="s">
        <v>14</v>
      </c>
      <c r="I128" s="197"/>
      <c r="J128" s="576"/>
      <c r="K128" s="576"/>
      <c r="L128" s="576"/>
      <c r="M128" s="576"/>
      <c r="N128" s="576"/>
      <c r="O128" s="576"/>
      <c r="P128" s="576"/>
      <c r="Q128" s="576"/>
      <c r="R128" s="576"/>
      <c r="S128" s="576"/>
      <c r="T128" s="576"/>
      <c r="U128" s="576"/>
      <c r="V128" s="576"/>
      <c r="W128" s="576"/>
      <c r="X128" s="576">
        <v>39</v>
      </c>
      <c r="Y128" s="576"/>
      <c r="Z128" s="576"/>
      <c r="AA128" s="576"/>
      <c r="AB128" s="576"/>
      <c r="AC128" s="577"/>
      <c r="AD128" s="577"/>
      <c r="AE128" s="577"/>
      <c r="AF128" s="577"/>
      <c r="AG128" s="577"/>
      <c r="AH128" s="577"/>
      <c r="AI128" s="577"/>
      <c r="AJ128" s="577"/>
      <c r="AK128" s="577"/>
      <c r="AL128" s="577"/>
      <c r="AM128" s="577"/>
      <c r="AN128" s="577"/>
      <c r="AO128" s="577"/>
      <c r="AP128" s="577">
        <f>IF(Table_NFI[[#This Row],[Winter Clothes Adult]]+Table_NFI[[#This Row],[Winter Clothes Children]]+Table_NFI[[#This Row],[Winter Items Other]]+Table_NFI[[#This Row],[Winter Blanket]]&gt;0,1,0)</f>
        <v>1</v>
      </c>
      <c r="AQ128" s="577"/>
      <c r="AR128" s="577"/>
      <c r="AS128" s="577"/>
      <c r="AT128" s="220" t="str">
        <f>IFERROR(VLOOKUP(Table_NFI[[#This Row],[Location]],CL,2,0),"")</f>
        <v>MMR001CMP052</v>
      </c>
      <c r="AU128" s="197"/>
    </row>
    <row r="129" spans="2:47" ht="18.75" hidden="1" customHeight="1" x14ac:dyDescent="0.3">
      <c r="B129" s="587">
        <v>43096</v>
      </c>
      <c r="C129" s="587" t="str">
        <f>MONTH(Table_NFI[[#This Row],[Distribution Date]]) &amp; "/" &amp; YEAR(Table_NFI[[#This Row],[Distribution Date]])</f>
        <v>12/2017</v>
      </c>
      <c r="D129" s="213" t="s">
        <v>825</v>
      </c>
      <c r="E129" s="213"/>
      <c r="F129" s="213" t="s">
        <v>378</v>
      </c>
      <c r="G129" s="213" t="s">
        <v>5</v>
      </c>
      <c r="H129" s="213" t="s">
        <v>22</v>
      </c>
      <c r="I129" s="197"/>
      <c r="J129" s="576"/>
      <c r="K129" s="576"/>
      <c r="L129" s="576"/>
      <c r="M129" s="576"/>
      <c r="N129" s="576"/>
      <c r="O129" s="576"/>
      <c r="P129" s="576"/>
      <c r="Q129" s="576"/>
      <c r="R129" s="576"/>
      <c r="S129" s="576"/>
      <c r="T129" s="576"/>
      <c r="U129" s="576"/>
      <c r="V129" s="576"/>
      <c r="W129" s="576"/>
      <c r="X129" s="576">
        <v>508</v>
      </c>
      <c r="Y129" s="576"/>
      <c r="Z129" s="576"/>
      <c r="AA129" s="576"/>
      <c r="AB129" s="576"/>
      <c r="AC129" s="577"/>
      <c r="AD129" s="577"/>
      <c r="AE129" s="577"/>
      <c r="AF129" s="577"/>
      <c r="AG129" s="577"/>
      <c r="AH129" s="577"/>
      <c r="AI129" s="577"/>
      <c r="AJ129" s="577"/>
      <c r="AK129" s="577"/>
      <c r="AL129" s="577"/>
      <c r="AM129" s="577"/>
      <c r="AN129" s="577"/>
      <c r="AO129" s="577"/>
      <c r="AP129" s="577">
        <f>IF(Table_NFI[[#This Row],[Winter Clothes Adult]]+Table_NFI[[#This Row],[Winter Clothes Children]]+Table_NFI[[#This Row],[Winter Items Other]]+Table_NFI[[#This Row],[Winter Blanket]]&gt;0,1,0)</f>
        <v>1</v>
      </c>
      <c r="AQ129" s="577"/>
      <c r="AR129" s="577"/>
      <c r="AS129" s="577"/>
      <c r="AT129" s="220" t="str">
        <f>IFERROR(VLOOKUP(Table_NFI[[#This Row],[Location]],CL,2,0),"")</f>
        <v>MMR001CMP047</v>
      </c>
      <c r="AU129" s="197"/>
    </row>
    <row r="130" spans="2:47" ht="18.75" hidden="1" customHeight="1" x14ac:dyDescent="0.3">
      <c r="B130" s="587">
        <v>43096</v>
      </c>
      <c r="C130" s="587" t="str">
        <f>MONTH(Table_NFI[[#This Row],[Distribution Date]]) &amp; "/" &amp; YEAR(Table_NFI[[#This Row],[Distribution Date]])</f>
        <v>12/2017</v>
      </c>
      <c r="D130" s="213" t="s">
        <v>825</v>
      </c>
      <c r="E130" s="213"/>
      <c r="F130" s="213" t="s">
        <v>378</v>
      </c>
      <c r="G130" s="213" t="s">
        <v>185</v>
      </c>
      <c r="H130" s="213" t="s">
        <v>1581</v>
      </c>
      <c r="I130" s="197"/>
      <c r="J130" s="576"/>
      <c r="K130" s="576"/>
      <c r="L130" s="576"/>
      <c r="M130" s="576"/>
      <c r="N130" s="576"/>
      <c r="O130" s="576"/>
      <c r="P130" s="576"/>
      <c r="Q130" s="576"/>
      <c r="R130" s="576"/>
      <c r="S130" s="576"/>
      <c r="T130" s="576"/>
      <c r="U130" s="576"/>
      <c r="V130" s="576"/>
      <c r="W130" s="576"/>
      <c r="X130" s="576">
        <v>5</v>
      </c>
      <c r="Y130" s="576"/>
      <c r="Z130" s="576"/>
      <c r="AA130" s="576"/>
      <c r="AB130" s="576"/>
      <c r="AC130" s="577"/>
      <c r="AD130" s="577"/>
      <c r="AE130" s="577"/>
      <c r="AF130" s="577"/>
      <c r="AG130" s="577"/>
      <c r="AH130" s="577"/>
      <c r="AI130" s="577"/>
      <c r="AJ130" s="577"/>
      <c r="AK130" s="577"/>
      <c r="AL130" s="577"/>
      <c r="AM130" s="577"/>
      <c r="AN130" s="577"/>
      <c r="AO130" s="577"/>
      <c r="AP130" s="577">
        <f>IF(Table_NFI[[#This Row],[Winter Clothes Adult]]+Table_NFI[[#This Row],[Winter Clothes Children]]+Table_NFI[[#This Row],[Winter Items Other]]+Table_NFI[[#This Row],[Winter Blanket]]&gt;0,1,0)</f>
        <v>1</v>
      </c>
      <c r="AQ130" s="577"/>
      <c r="AR130" s="577"/>
      <c r="AS130" s="577"/>
      <c r="AT130" s="220" t="str">
        <f>IFERROR(VLOOKUP(Table_NFI[[#This Row],[Location]],CL,2,0),"")</f>
        <v/>
      </c>
      <c r="AU130" s="197"/>
    </row>
    <row r="131" spans="2:47" ht="18.75" hidden="1" customHeight="1" x14ac:dyDescent="0.3">
      <c r="B131" s="587">
        <v>43096</v>
      </c>
      <c r="C131" s="587" t="str">
        <f>MONTH(Table_NFI[[#This Row],[Distribution Date]]) &amp; "/" &amp; YEAR(Table_NFI[[#This Row],[Distribution Date]])</f>
        <v>12/2017</v>
      </c>
      <c r="D131" s="213" t="s">
        <v>825</v>
      </c>
      <c r="E131" s="213"/>
      <c r="F131" s="213" t="s">
        <v>378</v>
      </c>
      <c r="G131" s="213" t="s">
        <v>185</v>
      </c>
      <c r="H131" s="213" t="s">
        <v>202</v>
      </c>
      <c r="I131" s="197"/>
      <c r="J131" s="576"/>
      <c r="K131" s="576"/>
      <c r="L131" s="576"/>
      <c r="M131" s="576"/>
      <c r="N131" s="576"/>
      <c r="O131" s="576"/>
      <c r="P131" s="576"/>
      <c r="Q131" s="576"/>
      <c r="R131" s="576"/>
      <c r="S131" s="576"/>
      <c r="T131" s="576"/>
      <c r="U131" s="576"/>
      <c r="V131" s="576"/>
      <c r="W131" s="576"/>
      <c r="X131" s="576">
        <v>223</v>
      </c>
      <c r="Y131" s="576"/>
      <c r="Z131" s="576"/>
      <c r="AA131" s="576"/>
      <c r="AB131" s="576"/>
      <c r="AC131" s="577"/>
      <c r="AD131" s="577"/>
      <c r="AE131" s="577"/>
      <c r="AF131" s="577"/>
      <c r="AG131" s="577"/>
      <c r="AH131" s="577"/>
      <c r="AI131" s="577"/>
      <c r="AJ131" s="577"/>
      <c r="AK131" s="577"/>
      <c r="AL131" s="577"/>
      <c r="AM131" s="577"/>
      <c r="AN131" s="577"/>
      <c r="AO131" s="577"/>
      <c r="AP131" s="577">
        <f>IF(Table_NFI[[#This Row],[Winter Clothes Adult]]+Table_NFI[[#This Row],[Winter Clothes Children]]+Table_NFI[[#This Row],[Winter Items Other]]+Table_NFI[[#This Row],[Winter Blanket]]&gt;0,1,0)</f>
        <v>1</v>
      </c>
      <c r="AQ131" s="577"/>
      <c r="AR131" s="577"/>
      <c r="AS131" s="577"/>
      <c r="AT131" s="220" t="str">
        <f>IFERROR(VLOOKUP(Table_NFI[[#This Row],[Location]],CL,2,0),"")</f>
        <v>MMR001CMP062</v>
      </c>
      <c r="AU131" s="197"/>
    </row>
    <row r="132" spans="2:47" ht="18.75" hidden="1" customHeight="1" x14ac:dyDescent="0.3">
      <c r="B132" s="587">
        <v>43096</v>
      </c>
      <c r="C132" s="587" t="str">
        <f>MONTH(Table_NFI[[#This Row],[Distribution Date]]) &amp; "/" &amp; YEAR(Table_NFI[[#This Row],[Distribution Date]])</f>
        <v>12/2017</v>
      </c>
      <c r="D132" s="213" t="s">
        <v>825</v>
      </c>
      <c r="E132" s="213"/>
      <c r="F132" s="213" t="s">
        <v>378</v>
      </c>
      <c r="G132" s="213" t="s">
        <v>185</v>
      </c>
      <c r="H132" s="213" t="s">
        <v>209</v>
      </c>
      <c r="I132" s="197"/>
      <c r="J132" s="576"/>
      <c r="K132" s="576"/>
      <c r="L132" s="576"/>
      <c r="M132" s="576"/>
      <c r="N132" s="576"/>
      <c r="O132" s="576"/>
      <c r="P132" s="576"/>
      <c r="Q132" s="576"/>
      <c r="R132" s="576"/>
      <c r="S132" s="576"/>
      <c r="T132" s="576"/>
      <c r="U132" s="576"/>
      <c r="V132" s="576"/>
      <c r="W132" s="576"/>
      <c r="X132" s="576">
        <v>383</v>
      </c>
      <c r="Y132" s="576"/>
      <c r="Z132" s="576"/>
      <c r="AA132" s="576"/>
      <c r="AB132" s="576"/>
      <c r="AC132" s="577"/>
      <c r="AD132" s="577"/>
      <c r="AE132" s="577"/>
      <c r="AF132" s="577"/>
      <c r="AG132" s="577"/>
      <c r="AH132" s="577"/>
      <c r="AI132" s="577"/>
      <c r="AJ132" s="577"/>
      <c r="AK132" s="577"/>
      <c r="AL132" s="577"/>
      <c r="AM132" s="577"/>
      <c r="AN132" s="577"/>
      <c r="AO132" s="577"/>
      <c r="AP132" s="577">
        <f>IF(Table_NFI[[#This Row],[Winter Clothes Adult]]+Table_NFI[[#This Row],[Winter Clothes Children]]+Table_NFI[[#This Row],[Winter Items Other]]+Table_NFI[[#This Row],[Winter Blanket]]&gt;0,1,0)</f>
        <v>1</v>
      </c>
      <c r="AQ132" s="577"/>
      <c r="AR132" s="577"/>
      <c r="AS132" s="577"/>
      <c r="AT132" s="220" t="str">
        <f>IFERROR(VLOOKUP(Table_NFI[[#This Row],[Location]],CL,2,0),"")</f>
        <v>MMR001CMP056</v>
      </c>
      <c r="AU132" s="197"/>
    </row>
    <row r="133" spans="2:47" ht="18.75" hidden="1" customHeight="1" x14ac:dyDescent="0.3">
      <c r="B133" s="587">
        <v>43096</v>
      </c>
      <c r="C133" s="587" t="str">
        <f>MONTH(Table_NFI[[#This Row],[Distribution Date]]) &amp; "/" &amp; YEAR(Table_NFI[[#This Row],[Distribution Date]])</f>
        <v>12/2017</v>
      </c>
      <c r="D133" s="213" t="s">
        <v>825</v>
      </c>
      <c r="E133" s="213"/>
      <c r="F133" s="213" t="s">
        <v>378</v>
      </c>
      <c r="G133" s="213" t="s">
        <v>237</v>
      </c>
      <c r="H133" s="589" t="s">
        <v>252</v>
      </c>
      <c r="I133" s="197"/>
      <c r="J133" s="576"/>
      <c r="K133" s="576"/>
      <c r="L133" s="576"/>
      <c r="M133" s="576"/>
      <c r="N133" s="576"/>
      <c r="O133" s="576"/>
      <c r="P133" s="576"/>
      <c r="Q133" s="576"/>
      <c r="R133" s="576"/>
      <c r="S133" s="576"/>
      <c r="T133" s="576"/>
      <c r="U133" s="576"/>
      <c r="V133" s="576"/>
      <c r="W133" s="576"/>
      <c r="X133" s="576">
        <v>202</v>
      </c>
      <c r="Y133" s="576"/>
      <c r="Z133" s="576"/>
      <c r="AA133" s="576"/>
      <c r="AB133" s="576"/>
      <c r="AC133" s="577"/>
      <c r="AD133" s="577"/>
      <c r="AE133" s="577"/>
      <c r="AF133" s="577"/>
      <c r="AG133" s="577"/>
      <c r="AH133" s="577"/>
      <c r="AI133" s="577"/>
      <c r="AJ133" s="577"/>
      <c r="AK133" s="577"/>
      <c r="AL133" s="577"/>
      <c r="AM133" s="577"/>
      <c r="AN133" s="577"/>
      <c r="AO133" s="577"/>
      <c r="AP133" s="577">
        <f>IF(Table_NFI[[#This Row],[Winter Clothes Adult]]+Table_NFI[[#This Row],[Winter Clothes Children]]+Table_NFI[[#This Row],[Winter Items Other]]+Table_NFI[[#This Row],[Winter Blanket]]&gt;0,1,0)</f>
        <v>1</v>
      </c>
      <c r="AQ133" s="577"/>
      <c r="AR133" s="577"/>
      <c r="AS133" s="577"/>
      <c r="AT133" s="220" t="str">
        <f>IFERROR(VLOOKUP(Table_NFI[[#This Row],[Location]],CL,2,0),"")</f>
        <v>MMR001CMP018</v>
      </c>
      <c r="AU133" s="197"/>
    </row>
    <row r="134" spans="2:47" ht="18.75" hidden="1" customHeight="1" x14ac:dyDescent="0.3">
      <c r="B134" s="587">
        <v>43096</v>
      </c>
      <c r="C134" s="587" t="str">
        <f>MONTH(Table_NFI[[#This Row],[Distribution Date]]) &amp; "/" &amp; YEAR(Table_NFI[[#This Row],[Distribution Date]])</f>
        <v>12/2017</v>
      </c>
      <c r="D134" s="213" t="s">
        <v>825</v>
      </c>
      <c r="E134" s="213"/>
      <c r="F134" s="213" t="s">
        <v>378</v>
      </c>
      <c r="G134" s="213" t="s">
        <v>237</v>
      </c>
      <c r="H134" s="589" t="s">
        <v>254</v>
      </c>
      <c r="I134" s="197"/>
      <c r="J134" s="576"/>
      <c r="K134" s="576"/>
      <c r="L134" s="576"/>
      <c r="M134" s="576"/>
      <c r="N134" s="576"/>
      <c r="O134" s="576"/>
      <c r="P134" s="576"/>
      <c r="Q134" s="576"/>
      <c r="R134" s="576"/>
      <c r="S134" s="576"/>
      <c r="T134" s="576"/>
      <c r="U134" s="576"/>
      <c r="V134" s="576"/>
      <c r="W134" s="576"/>
      <c r="X134" s="576">
        <v>86</v>
      </c>
      <c r="Y134" s="576"/>
      <c r="Z134" s="576"/>
      <c r="AA134" s="576"/>
      <c r="AB134" s="576"/>
      <c r="AC134" s="577"/>
      <c r="AD134" s="577"/>
      <c r="AE134" s="577"/>
      <c r="AF134" s="577"/>
      <c r="AG134" s="577"/>
      <c r="AH134" s="577"/>
      <c r="AI134" s="577"/>
      <c r="AJ134" s="577"/>
      <c r="AK134" s="577"/>
      <c r="AL134" s="577"/>
      <c r="AM134" s="577"/>
      <c r="AN134" s="577"/>
      <c r="AO134" s="577"/>
      <c r="AP134" s="577">
        <f>IF(Table_NFI[[#This Row],[Winter Clothes Adult]]+Table_NFI[[#This Row],[Winter Clothes Children]]+Table_NFI[[#This Row],[Winter Items Other]]+Table_NFI[[#This Row],[Winter Blanket]]&gt;0,1,0)</f>
        <v>1</v>
      </c>
      <c r="AQ134" s="577"/>
      <c r="AR134" s="577"/>
      <c r="AS134" s="577"/>
      <c r="AT134" s="220" t="str">
        <f>IFERROR(VLOOKUP(Table_NFI[[#This Row],[Location]],CL,2,0),"")</f>
        <v>MMR001CMP019</v>
      </c>
      <c r="AU134" s="197"/>
    </row>
    <row r="135" spans="2:47" ht="18.75" hidden="1" customHeight="1" x14ac:dyDescent="0.3">
      <c r="B135" s="587">
        <v>43096</v>
      </c>
      <c r="C135" s="587" t="str">
        <f>MONTH(Table_NFI[[#This Row],[Distribution Date]]) &amp; "/" &amp; YEAR(Table_NFI[[#This Row],[Distribution Date]])</f>
        <v>12/2017</v>
      </c>
      <c r="D135" s="213" t="s">
        <v>825</v>
      </c>
      <c r="E135" s="213"/>
      <c r="F135" s="213" t="s">
        <v>378</v>
      </c>
      <c r="G135" s="213" t="s">
        <v>237</v>
      </c>
      <c r="H135" s="589" t="s">
        <v>256</v>
      </c>
      <c r="I135" s="197"/>
      <c r="J135" s="576"/>
      <c r="K135" s="576"/>
      <c r="L135" s="576"/>
      <c r="M135" s="576"/>
      <c r="N135" s="576"/>
      <c r="O135" s="576"/>
      <c r="P135" s="576"/>
      <c r="Q135" s="576"/>
      <c r="R135" s="576"/>
      <c r="S135" s="576"/>
      <c r="T135" s="576"/>
      <c r="U135" s="576"/>
      <c r="V135" s="576"/>
      <c r="W135" s="576"/>
      <c r="X135" s="576">
        <v>17</v>
      </c>
      <c r="Y135" s="576"/>
      <c r="Z135" s="576"/>
      <c r="AA135" s="576"/>
      <c r="AB135" s="576"/>
      <c r="AC135" s="577"/>
      <c r="AD135" s="577"/>
      <c r="AE135" s="577"/>
      <c r="AF135" s="577"/>
      <c r="AG135" s="577"/>
      <c r="AH135" s="577"/>
      <c r="AI135" s="577"/>
      <c r="AJ135" s="577"/>
      <c r="AK135" s="577"/>
      <c r="AL135" s="577"/>
      <c r="AM135" s="577"/>
      <c r="AN135" s="577"/>
      <c r="AO135" s="577"/>
      <c r="AP135" s="577">
        <f>IF(Table_NFI[[#This Row],[Winter Clothes Adult]]+Table_NFI[[#This Row],[Winter Clothes Children]]+Table_NFI[[#This Row],[Winter Items Other]]+Table_NFI[[#This Row],[Winter Blanket]]&gt;0,1,0)</f>
        <v>1</v>
      </c>
      <c r="AQ135" s="577"/>
      <c r="AR135" s="577"/>
      <c r="AS135" s="577"/>
      <c r="AT135" s="220" t="str">
        <f>IFERROR(VLOOKUP(Table_NFI[[#This Row],[Location]],CL,2,0),"")</f>
        <v>MMR001CMP013</v>
      </c>
      <c r="AU135" s="197"/>
    </row>
    <row r="136" spans="2:47" ht="18.75" hidden="1" customHeight="1" x14ac:dyDescent="0.3">
      <c r="B136" s="587">
        <v>43096</v>
      </c>
      <c r="C136" s="587" t="str">
        <f>MONTH(Table_NFI[[#This Row],[Distribution Date]]) &amp; "/" &amp; YEAR(Table_NFI[[#This Row],[Distribution Date]])</f>
        <v>12/2017</v>
      </c>
      <c r="D136" s="213" t="s">
        <v>825</v>
      </c>
      <c r="E136" s="213"/>
      <c r="F136" s="213" t="s">
        <v>378</v>
      </c>
      <c r="G136" s="213" t="s">
        <v>237</v>
      </c>
      <c r="H136" s="589" t="s">
        <v>240</v>
      </c>
      <c r="I136" s="197"/>
      <c r="J136" s="576"/>
      <c r="K136" s="576"/>
      <c r="L136" s="576"/>
      <c r="M136" s="576"/>
      <c r="N136" s="576"/>
      <c r="O136" s="576"/>
      <c r="P136" s="576"/>
      <c r="Q136" s="576"/>
      <c r="R136" s="576"/>
      <c r="S136" s="576"/>
      <c r="T136" s="576"/>
      <c r="U136" s="576"/>
      <c r="V136" s="576"/>
      <c r="W136" s="576"/>
      <c r="X136" s="576">
        <v>30</v>
      </c>
      <c r="Y136" s="576"/>
      <c r="Z136" s="576"/>
      <c r="AA136" s="576"/>
      <c r="AB136" s="576"/>
      <c r="AC136" s="577"/>
      <c r="AD136" s="577"/>
      <c r="AE136" s="577"/>
      <c r="AF136" s="577"/>
      <c r="AG136" s="577"/>
      <c r="AH136" s="577"/>
      <c r="AI136" s="577"/>
      <c r="AJ136" s="577"/>
      <c r="AK136" s="577"/>
      <c r="AL136" s="577"/>
      <c r="AM136" s="577"/>
      <c r="AN136" s="577"/>
      <c r="AO136" s="577"/>
      <c r="AP136" s="577">
        <f>IF(Table_NFI[[#This Row],[Winter Clothes Adult]]+Table_NFI[[#This Row],[Winter Clothes Children]]+Table_NFI[[#This Row],[Winter Items Other]]+Table_NFI[[#This Row],[Winter Blanket]]&gt;0,1,0)</f>
        <v>1</v>
      </c>
      <c r="AQ136" s="577"/>
      <c r="AR136" s="577"/>
      <c r="AS136" s="577"/>
      <c r="AT136" s="220" t="str">
        <f>IFERROR(VLOOKUP(Table_NFI[[#This Row],[Location]],CL,2,0),"")</f>
        <v>MMR001CMP015</v>
      </c>
      <c r="AU136" s="197"/>
    </row>
    <row r="137" spans="2:47" ht="18.75" hidden="1" customHeight="1" x14ac:dyDescent="0.3">
      <c r="B137" s="587">
        <v>43096</v>
      </c>
      <c r="C137" s="587" t="str">
        <f>MONTH(Table_NFI[[#This Row],[Distribution Date]]) &amp; "/" &amp; YEAR(Table_NFI[[#This Row],[Distribution Date]])</f>
        <v>12/2017</v>
      </c>
      <c r="D137" s="213" t="s">
        <v>825</v>
      </c>
      <c r="E137" s="213"/>
      <c r="F137" s="213" t="s">
        <v>378</v>
      </c>
      <c r="G137" s="213" t="s">
        <v>237</v>
      </c>
      <c r="H137" s="589" t="s">
        <v>284</v>
      </c>
      <c r="I137" s="197"/>
      <c r="J137" s="576"/>
      <c r="K137" s="576"/>
      <c r="L137" s="576"/>
      <c r="M137" s="576"/>
      <c r="N137" s="576"/>
      <c r="O137" s="576"/>
      <c r="P137" s="576"/>
      <c r="Q137" s="576"/>
      <c r="R137" s="576"/>
      <c r="S137" s="576"/>
      <c r="T137" s="576"/>
      <c r="U137" s="576"/>
      <c r="V137" s="576"/>
      <c r="W137" s="576"/>
      <c r="X137" s="576">
        <v>86</v>
      </c>
      <c r="Y137" s="576"/>
      <c r="Z137" s="576"/>
      <c r="AA137" s="576"/>
      <c r="AB137" s="576"/>
      <c r="AC137" s="577"/>
      <c r="AD137" s="577"/>
      <c r="AE137" s="577"/>
      <c r="AF137" s="577"/>
      <c r="AG137" s="577"/>
      <c r="AH137" s="577"/>
      <c r="AI137" s="577"/>
      <c r="AJ137" s="577"/>
      <c r="AK137" s="577"/>
      <c r="AL137" s="577"/>
      <c r="AM137" s="577"/>
      <c r="AN137" s="577"/>
      <c r="AO137" s="577"/>
      <c r="AP137" s="577">
        <f>IF(Table_NFI[[#This Row],[Winter Clothes Adult]]+Table_NFI[[#This Row],[Winter Clothes Children]]+Table_NFI[[#This Row],[Winter Items Other]]+Table_NFI[[#This Row],[Winter Blanket]]&gt;0,1,0)</f>
        <v>1</v>
      </c>
      <c r="AQ137" s="577"/>
      <c r="AR137" s="577"/>
      <c r="AS137" s="577"/>
      <c r="AT137" s="220" t="str">
        <f>IFERROR(VLOOKUP(Table_NFI[[#This Row],[Location]],CL,2,0),"")</f>
        <v>MMR001CMP014</v>
      </c>
      <c r="AU137" s="197"/>
    </row>
    <row r="138" spans="2:47" ht="18.75" hidden="1" customHeight="1" x14ac:dyDescent="0.3">
      <c r="B138" s="587">
        <v>43096</v>
      </c>
      <c r="C138" s="587" t="str">
        <f>MONTH(Table_NFI[[#This Row],[Distribution Date]]) &amp; "/" &amp; YEAR(Table_NFI[[#This Row],[Distribution Date]])</f>
        <v>12/2017</v>
      </c>
      <c r="D138" s="213" t="s">
        <v>825</v>
      </c>
      <c r="E138" s="213"/>
      <c r="F138" s="213" t="s">
        <v>378</v>
      </c>
      <c r="G138" s="213" t="s">
        <v>237</v>
      </c>
      <c r="H138" s="589" t="s">
        <v>258</v>
      </c>
      <c r="I138" s="197"/>
      <c r="J138" s="576"/>
      <c r="K138" s="576"/>
      <c r="L138" s="576"/>
      <c r="M138" s="576"/>
      <c r="N138" s="576"/>
      <c r="O138" s="576"/>
      <c r="P138" s="576"/>
      <c r="Q138" s="576"/>
      <c r="R138" s="576"/>
      <c r="S138" s="576"/>
      <c r="T138" s="576"/>
      <c r="U138" s="576"/>
      <c r="V138" s="576"/>
      <c r="W138" s="576"/>
      <c r="X138" s="576">
        <v>61</v>
      </c>
      <c r="Y138" s="576"/>
      <c r="Z138" s="576"/>
      <c r="AA138" s="576"/>
      <c r="AB138" s="576"/>
      <c r="AC138" s="577"/>
      <c r="AD138" s="577"/>
      <c r="AE138" s="577"/>
      <c r="AF138" s="577"/>
      <c r="AG138" s="577"/>
      <c r="AH138" s="577"/>
      <c r="AI138" s="577"/>
      <c r="AJ138" s="577"/>
      <c r="AK138" s="577"/>
      <c r="AL138" s="577"/>
      <c r="AM138" s="577"/>
      <c r="AN138" s="577"/>
      <c r="AO138" s="577"/>
      <c r="AP138" s="577">
        <f>IF(Table_NFI[[#This Row],[Winter Clothes Adult]]+Table_NFI[[#This Row],[Winter Clothes Children]]+Table_NFI[[#This Row],[Winter Items Other]]+Table_NFI[[#This Row],[Winter Blanket]]&gt;0,1,0)</f>
        <v>1</v>
      </c>
      <c r="AQ138" s="577"/>
      <c r="AR138" s="577"/>
      <c r="AS138" s="577"/>
      <c r="AT138" s="220" t="str">
        <f>IFERROR(VLOOKUP(Table_NFI[[#This Row],[Location]],CL,2,0),"")</f>
        <v>MMR001CMP016</v>
      </c>
      <c r="AU138" s="197"/>
    </row>
    <row r="139" spans="2:47" ht="18.75" hidden="1" customHeight="1" x14ac:dyDescent="0.3">
      <c r="B139" s="587">
        <v>43096</v>
      </c>
      <c r="C139" s="587" t="str">
        <f>MONTH(Table_NFI[[#This Row],[Distribution Date]]) &amp; "/" &amp; YEAR(Table_NFI[[#This Row],[Distribution Date]])</f>
        <v>12/2017</v>
      </c>
      <c r="D139" s="213" t="s">
        <v>825</v>
      </c>
      <c r="E139" s="213"/>
      <c r="F139" s="213" t="s">
        <v>378</v>
      </c>
      <c r="G139" s="213" t="s">
        <v>237</v>
      </c>
      <c r="H139" s="589" t="s">
        <v>260</v>
      </c>
      <c r="I139" s="197"/>
      <c r="J139" s="576"/>
      <c r="K139" s="576"/>
      <c r="L139" s="576"/>
      <c r="M139" s="576"/>
      <c r="N139" s="576"/>
      <c r="O139" s="576"/>
      <c r="P139" s="576"/>
      <c r="Q139" s="576"/>
      <c r="R139" s="576"/>
      <c r="S139" s="576"/>
      <c r="T139" s="576"/>
      <c r="U139" s="576"/>
      <c r="V139" s="576"/>
      <c r="W139" s="576"/>
      <c r="X139" s="576">
        <v>103</v>
      </c>
      <c r="Y139" s="576"/>
      <c r="Z139" s="576"/>
      <c r="AA139" s="576"/>
      <c r="AB139" s="576"/>
      <c r="AC139" s="577"/>
      <c r="AD139" s="577"/>
      <c r="AE139" s="577"/>
      <c r="AF139" s="577"/>
      <c r="AG139" s="577"/>
      <c r="AH139" s="577"/>
      <c r="AI139" s="577"/>
      <c r="AJ139" s="577"/>
      <c r="AK139" s="577"/>
      <c r="AL139" s="577"/>
      <c r="AM139" s="577"/>
      <c r="AN139" s="577"/>
      <c r="AO139" s="577"/>
      <c r="AP139" s="577">
        <f>IF(Table_NFI[[#This Row],[Winter Clothes Adult]]+Table_NFI[[#This Row],[Winter Clothes Children]]+Table_NFI[[#This Row],[Winter Items Other]]+Table_NFI[[#This Row],[Winter Blanket]]&gt;0,1,0)</f>
        <v>1</v>
      </c>
      <c r="AQ139" s="577"/>
      <c r="AR139" s="577"/>
      <c r="AS139" s="577"/>
      <c r="AT139" s="220" t="str">
        <f>IFERROR(VLOOKUP(Table_NFI[[#This Row],[Location]],CL,2,0),"")</f>
        <v>MMR001CMP008</v>
      </c>
      <c r="AU139" s="197"/>
    </row>
    <row r="140" spans="2:47" ht="18.75" hidden="1" customHeight="1" x14ac:dyDescent="0.3">
      <c r="B140" s="587">
        <v>43096</v>
      </c>
      <c r="C140" s="587" t="str">
        <f>MONTH(Table_NFI[[#This Row],[Distribution Date]]) &amp; "/" &amp; YEAR(Table_NFI[[#This Row],[Distribution Date]])</f>
        <v>12/2017</v>
      </c>
      <c r="D140" s="213" t="s">
        <v>825</v>
      </c>
      <c r="E140" s="213"/>
      <c r="F140" s="213" t="s">
        <v>378</v>
      </c>
      <c r="G140" s="213" t="s">
        <v>237</v>
      </c>
      <c r="H140" s="589" t="s">
        <v>262</v>
      </c>
      <c r="I140" s="197"/>
      <c r="J140" s="576"/>
      <c r="K140" s="576"/>
      <c r="L140" s="576"/>
      <c r="M140" s="576"/>
      <c r="N140" s="576"/>
      <c r="O140" s="576"/>
      <c r="P140" s="576"/>
      <c r="Q140" s="576"/>
      <c r="R140" s="576"/>
      <c r="S140" s="576"/>
      <c r="T140" s="576"/>
      <c r="U140" s="576"/>
      <c r="V140" s="576"/>
      <c r="W140" s="576"/>
      <c r="X140" s="576">
        <v>24</v>
      </c>
      <c r="Y140" s="576"/>
      <c r="Z140" s="576"/>
      <c r="AA140" s="576"/>
      <c r="AB140" s="576"/>
      <c r="AC140" s="577"/>
      <c r="AD140" s="577"/>
      <c r="AE140" s="577"/>
      <c r="AF140" s="577"/>
      <c r="AG140" s="577"/>
      <c r="AH140" s="577"/>
      <c r="AI140" s="577"/>
      <c r="AJ140" s="577"/>
      <c r="AK140" s="577"/>
      <c r="AL140" s="577"/>
      <c r="AM140" s="577"/>
      <c r="AN140" s="577"/>
      <c r="AO140" s="577"/>
      <c r="AP140" s="577">
        <f>IF(Table_NFI[[#This Row],[Winter Clothes Adult]]+Table_NFI[[#This Row],[Winter Clothes Children]]+Table_NFI[[#This Row],[Winter Items Other]]+Table_NFI[[#This Row],[Winter Blanket]]&gt;0,1,0)</f>
        <v>1</v>
      </c>
      <c r="AQ140" s="577"/>
      <c r="AR140" s="577"/>
      <c r="AS140" s="577"/>
      <c r="AT140" s="220" t="str">
        <f>IFERROR(VLOOKUP(Table_NFI[[#This Row],[Location]],CL,2,0),"")</f>
        <v>MMR001CMP020</v>
      </c>
      <c r="AU140" s="197"/>
    </row>
    <row r="141" spans="2:47" ht="18.75" hidden="1" customHeight="1" x14ac:dyDescent="0.3">
      <c r="B141" s="587">
        <v>43096</v>
      </c>
      <c r="C141" s="587" t="str">
        <f>MONTH(Table_NFI[[#This Row],[Distribution Date]]) &amp; "/" &amp; YEAR(Table_NFI[[#This Row],[Distribution Date]])</f>
        <v>12/2017</v>
      </c>
      <c r="D141" s="213" t="s">
        <v>825</v>
      </c>
      <c r="E141" s="213"/>
      <c r="F141" s="213" t="s">
        <v>378</v>
      </c>
      <c r="G141" s="213" t="s">
        <v>237</v>
      </c>
      <c r="H141" s="589" t="s">
        <v>264</v>
      </c>
      <c r="I141" s="197"/>
      <c r="J141" s="576"/>
      <c r="K141" s="576"/>
      <c r="L141" s="576"/>
      <c r="M141" s="576"/>
      <c r="N141" s="576"/>
      <c r="O141" s="576"/>
      <c r="P141" s="576"/>
      <c r="Q141" s="576"/>
      <c r="R141" s="576"/>
      <c r="S141" s="576"/>
      <c r="T141" s="576"/>
      <c r="U141" s="576"/>
      <c r="V141" s="576"/>
      <c r="W141" s="576"/>
      <c r="X141" s="576">
        <v>14</v>
      </c>
      <c r="Y141" s="576"/>
      <c r="Z141" s="576"/>
      <c r="AA141" s="576"/>
      <c r="AB141" s="576"/>
      <c r="AC141" s="577"/>
      <c r="AD141" s="577"/>
      <c r="AE141" s="577"/>
      <c r="AF141" s="577"/>
      <c r="AG141" s="577"/>
      <c r="AH141" s="577"/>
      <c r="AI141" s="577"/>
      <c r="AJ141" s="577"/>
      <c r="AK141" s="577"/>
      <c r="AL141" s="577"/>
      <c r="AM141" s="577"/>
      <c r="AN141" s="577"/>
      <c r="AO141" s="577"/>
      <c r="AP141" s="577">
        <f>IF(Table_NFI[[#This Row],[Winter Clothes Adult]]+Table_NFI[[#This Row],[Winter Clothes Children]]+Table_NFI[[#This Row],[Winter Items Other]]+Table_NFI[[#This Row],[Winter Blanket]]&gt;0,1,0)</f>
        <v>1</v>
      </c>
      <c r="AQ141" s="577"/>
      <c r="AR141" s="577"/>
      <c r="AS141" s="577"/>
      <c r="AT141" s="220" t="str">
        <f>IFERROR(VLOOKUP(Table_NFI[[#This Row],[Location]],CL,2,0),"")</f>
        <v>MMR001CMP021</v>
      </c>
      <c r="AU141" s="197"/>
    </row>
    <row r="142" spans="2:47" ht="18.75" hidden="1" customHeight="1" x14ac:dyDescent="0.3">
      <c r="B142" s="587">
        <v>43096</v>
      </c>
      <c r="C142" s="587" t="str">
        <f>MONTH(Table_NFI[[#This Row],[Distribution Date]]) &amp; "/" &amp; YEAR(Table_NFI[[#This Row],[Distribution Date]])</f>
        <v>12/2017</v>
      </c>
      <c r="D142" s="213" t="s">
        <v>825</v>
      </c>
      <c r="E142" s="213"/>
      <c r="F142" s="213" t="s">
        <v>378</v>
      </c>
      <c r="G142" s="213" t="s">
        <v>237</v>
      </c>
      <c r="H142" s="589" t="s">
        <v>270</v>
      </c>
      <c r="I142" s="197"/>
      <c r="J142" s="576"/>
      <c r="K142" s="576"/>
      <c r="L142" s="576"/>
      <c r="M142" s="576"/>
      <c r="N142" s="576"/>
      <c r="O142" s="576"/>
      <c r="P142" s="576"/>
      <c r="Q142" s="576"/>
      <c r="R142" s="576"/>
      <c r="S142" s="576"/>
      <c r="T142" s="576"/>
      <c r="U142" s="576"/>
      <c r="V142" s="576"/>
      <c r="W142" s="576"/>
      <c r="X142" s="576">
        <v>60</v>
      </c>
      <c r="Y142" s="576"/>
      <c r="Z142" s="576"/>
      <c r="AA142" s="576"/>
      <c r="AB142" s="576"/>
      <c r="AC142" s="577"/>
      <c r="AD142" s="577"/>
      <c r="AE142" s="577"/>
      <c r="AF142" s="577"/>
      <c r="AG142" s="577"/>
      <c r="AH142" s="577"/>
      <c r="AI142" s="577"/>
      <c r="AJ142" s="577"/>
      <c r="AK142" s="577"/>
      <c r="AL142" s="577"/>
      <c r="AM142" s="577"/>
      <c r="AN142" s="577"/>
      <c r="AO142" s="577"/>
      <c r="AP142" s="577">
        <f>IF(Table_NFI[[#This Row],[Winter Clothes Adult]]+Table_NFI[[#This Row],[Winter Clothes Children]]+Table_NFI[[#This Row],[Winter Items Other]]+Table_NFI[[#This Row],[Winter Blanket]]&gt;0,1,0)</f>
        <v>1</v>
      </c>
      <c r="AQ142" s="577"/>
      <c r="AR142" s="577"/>
      <c r="AS142" s="577"/>
      <c r="AT142" s="220" t="str">
        <f>IFERROR(VLOOKUP(Table_NFI[[#This Row],[Location]],CL,2,0),"")</f>
        <v>MMR001CMP024</v>
      </c>
      <c r="AU142" s="197"/>
    </row>
    <row r="143" spans="2:47" ht="18.75" hidden="1" customHeight="1" x14ac:dyDescent="0.3">
      <c r="B143" s="587">
        <v>43096</v>
      </c>
      <c r="C143" s="587" t="str">
        <f>MONTH(Table_NFI[[#This Row],[Distribution Date]]) &amp; "/" &amp; YEAR(Table_NFI[[#This Row],[Distribution Date]])</f>
        <v>12/2017</v>
      </c>
      <c r="D143" s="213" t="s">
        <v>825</v>
      </c>
      <c r="E143" s="213"/>
      <c r="F143" s="213" t="s">
        <v>378</v>
      </c>
      <c r="G143" s="213" t="s">
        <v>237</v>
      </c>
      <c r="H143" s="589" t="s">
        <v>268</v>
      </c>
      <c r="I143" s="197"/>
      <c r="J143" s="576"/>
      <c r="K143" s="576"/>
      <c r="L143" s="576"/>
      <c r="M143" s="576"/>
      <c r="N143" s="576"/>
      <c r="O143" s="576"/>
      <c r="P143" s="576"/>
      <c r="Q143" s="576"/>
      <c r="R143" s="576"/>
      <c r="S143" s="576"/>
      <c r="T143" s="576"/>
      <c r="U143" s="576"/>
      <c r="V143" s="576"/>
      <c r="W143" s="576"/>
      <c r="X143" s="576">
        <v>66</v>
      </c>
      <c r="Y143" s="576"/>
      <c r="Z143" s="576"/>
      <c r="AA143" s="576"/>
      <c r="AB143" s="576"/>
      <c r="AC143" s="577"/>
      <c r="AD143" s="577"/>
      <c r="AE143" s="577"/>
      <c r="AF143" s="577"/>
      <c r="AG143" s="577"/>
      <c r="AH143" s="577"/>
      <c r="AI143" s="577"/>
      <c r="AJ143" s="577"/>
      <c r="AK143" s="577"/>
      <c r="AL143" s="577"/>
      <c r="AM143" s="577"/>
      <c r="AN143" s="577"/>
      <c r="AO143" s="577"/>
      <c r="AP143" s="577">
        <f>IF(Table_NFI[[#This Row],[Winter Clothes Adult]]+Table_NFI[[#This Row],[Winter Clothes Children]]+Table_NFI[[#This Row],[Winter Items Other]]+Table_NFI[[#This Row],[Winter Blanket]]&gt;0,1,0)</f>
        <v>1</v>
      </c>
      <c r="AQ143" s="577"/>
      <c r="AR143" s="577"/>
      <c r="AS143" s="577"/>
      <c r="AT143" s="220" t="str">
        <f>IFERROR(VLOOKUP(Table_NFI[[#This Row],[Location]],CL,2,0),"")</f>
        <v>MMR001CMP002</v>
      </c>
      <c r="AU143" s="197"/>
    </row>
    <row r="144" spans="2:47" ht="18.75" hidden="1" customHeight="1" x14ac:dyDescent="0.3">
      <c r="B144" s="587">
        <v>43096</v>
      </c>
      <c r="C144" s="587" t="str">
        <f>MONTH(Table_NFI[[#This Row],[Distribution Date]]) &amp; "/" &amp; YEAR(Table_NFI[[#This Row],[Distribution Date]])</f>
        <v>12/2017</v>
      </c>
      <c r="D144" s="213" t="s">
        <v>825</v>
      </c>
      <c r="E144" s="213"/>
      <c r="F144" s="213" t="s">
        <v>378</v>
      </c>
      <c r="G144" s="213" t="s">
        <v>237</v>
      </c>
      <c r="H144" s="589" t="s">
        <v>272</v>
      </c>
      <c r="I144" s="197"/>
      <c r="J144" s="576"/>
      <c r="K144" s="576"/>
      <c r="L144" s="576"/>
      <c r="M144" s="576"/>
      <c r="N144" s="576"/>
      <c r="O144" s="576"/>
      <c r="P144" s="576"/>
      <c r="Q144" s="576"/>
      <c r="R144" s="576"/>
      <c r="S144" s="576"/>
      <c r="T144" s="576"/>
      <c r="U144" s="576"/>
      <c r="V144" s="576"/>
      <c r="W144" s="576"/>
      <c r="X144" s="576">
        <v>46</v>
      </c>
      <c r="Y144" s="576"/>
      <c r="Z144" s="576"/>
      <c r="AA144" s="576"/>
      <c r="AB144" s="576"/>
      <c r="AC144" s="577"/>
      <c r="AD144" s="577"/>
      <c r="AE144" s="577"/>
      <c r="AF144" s="577"/>
      <c r="AG144" s="577"/>
      <c r="AH144" s="577"/>
      <c r="AI144" s="577"/>
      <c r="AJ144" s="577"/>
      <c r="AK144" s="577"/>
      <c r="AL144" s="577"/>
      <c r="AM144" s="577"/>
      <c r="AN144" s="577"/>
      <c r="AO144" s="577"/>
      <c r="AP144" s="577">
        <f>IF(Table_NFI[[#This Row],[Winter Clothes Adult]]+Table_NFI[[#This Row],[Winter Clothes Children]]+Table_NFI[[#This Row],[Winter Items Other]]+Table_NFI[[#This Row],[Winter Blanket]]&gt;0,1,0)</f>
        <v>1</v>
      </c>
      <c r="AQ144" s="577"/>
      <c r="AR144" s="577"/>
      <c r="AS144" s="577"/>
      <c r="AT144" s="220" t="str">
        <f>IFERROR(VLOOKUP(Table_NFI[[#This Row],[Location]],CL,2,0),"")</f>
        <v>MMR001CMP162</v>
      </c>
      <c r="AU144" s="197"/>
    </row>
    <row r="145" spans="2:47" ht="18.75" hidden="1" customHeight="1" x14ac:dyDescent="0.3">
      <c r="B145" s="587">
        <v>43096</v>
      </c>
      <c r="C145" s="587" t="str">
        <f>MONTH(Table_NFI[[#This Row],[Distribution Date]]) &amp; "/" &amp; YEAR(Table_NFI[[#This Row],[Distribution Date]])</f>
        <v>12/2017</v>
      </c>
      <c r="D145" s="213" t="s">
        <v>825</v>
      </c>
      <c r="E145" s="213"/>
      <c r="F145" s="213" t="s">
        <v>378</v>
      </c>
      <c r="G145" s="213" t="s">
        <v>237</v>
      </c>
      <c r="H145" s="589" t="s">
        <v>276</v>
      </c>
      <c r="I145" s="197"/>
      <c r="J145" s="576"/>
      <c r="K145" s="576"/>
      <c r="L145" s="576"/>
      <c r="M145" s="576"/>
      <c r="N145" s="576"/>
      <c r="O145" s="576"/>
      <c r="P145" s="576"/>
      <c r="Q145" s="576"/>
      <c r="R145" s="576"/>
      <c r="S145" s="576"/>
      <c r="T145" s="576"/>
      <c r="U145" s="576"/>
      <c r="V145" s="576"/>
      <c r="W145" s="576"/>
      <c r="X145" s="576">
        <v>119</v>
      </c>
      <c r="Y145" s="576"/>
      <c r="Z145" s="576"/>
      <c r="AA145" s="576"/>
      <c r="AB145" s="576"/>
      <c r="AC145" s="577"/>
      <c r="AD145" s="577"/>
      <c r="AE145" s="577"/>
      <c r="AF145" s="577"/>
      <c r="AG145" s="577"/>
      <c r="AH145" s="577"/>
      <c r="AI145" s="577"/>
      <c r="AJ145" s="577"/>
      <c r="AK145" s="577"/>
      <c r="AL145" s="577"/>
      <c r="AM145" s="577"/>
      <c r="AN145" s="577"/>
      <c r="AO145" s="577"/>
      <c r="AP145" s="577">
        <f>IF(Table_NFI[[#This Row],[Winter Clothes Adult]]+Table_NFI[[#This Row],[Winter Clothes Children]]+Table_NFI[[#This Row],[Winter Items Other]]+Table_NFI[[#This Row],[Winter Blanket]]&gt;0,1,0)</f>
        <v>1</v>
      </c>
      <c r="AQ145" s="577"/>
      <c r="AR145" s="577"/>
      <c r="AS145" s="577"/>
      <c r="AT145" s="220" t="str">
        <f>IFERROR(VLOOKUP(Table_NFI[[#This Row],[Location]],CL,2,0),"")</f>
        <v>MMR001CMP006</v>
      </c>
      <c r="AU145" s="197"/>
    </row>
    <row r="146" spans="2:47" ht="18.75" hidden="1" customHeight="1" x14ac:dyDescent="0.3">
      <c r="B146" s="587">
        <v>43096</v>
      </c>
      <c r="C146" s="587" t="str">
        <f>MONTH(Table_NFI[[#This Row],[Distribution Date]]) &amp; "/" &amp; YEAR(Table_NFI[[#This Row],[Distribution Date]])</f>
        <v>12/2017</v>
      </c>
      <c r="D146" s="213" t="s">
        <v>825</v>
      </c>
      <c r="E146" s="213"/>
      <c r="F146" s="213" t="s">
        <v>378</v>
      </c>
      <c r="G146" s="213" t="s">
        <v>237</v>
      </c>
      <c r="H146" s="589" t="s">
        <v>278</v>
      </c>
      <c r="I146" s="197"/>
      <c r="J146" s="576"/>
      <c r="K146" s="576"/>
      <c r="L146" s="576"/>
      <c r="M146" s="576"/>
      <c r="N146" s="576"/>
      <c r="O146" s="576"/>
      <c r="P146" s="576"/>
      <c r="Q146" s="576"/>
      <c r="R146" s="576"/>
      <c r="S146" s="576"/>
      <c r="T146" s="576"/>
      <c r="U146" s="576"/>
      <c r="V146" s="576"/>
      <c r="W146" s="576"/>
      <c r="X146" s="576">
        <v>23</v>
      </c>
      <c r="Y146" s="576"/>
      <c r="Z146" s="576"/>
      <c r="AA146" s="576"/>
      <c r="AB146" s="576"/>
      <c r="AC146" s="577"/>
      <c r="AD146" s="577"/>
      <c r="AE146" s="577"/>
      <c r="AF146" s="577"/>
      <c r="AG146" s="577"/>
      <c r="AH146" s="577"/>
      <c r="AI146" s="577"/>
      <c r="AJ146" s="577"/>
      <c r="AK146" s="577"/>
      <c r="AL146" s="577"/>
      <c r="AM146" s="577"/>
      <c r="AN146" s="577"/>
      <c r="AO146" s="577"/>
      <c r="AP146" s="577">
        <f>IF(Table_NFI[[#This Row],[Winter Clothes Adult]]+Table_NFI[[#This Row],[Winter Clothes Children]]+Table_NFI[[#This Row],[Winter Items Other]]+Table_NFI[[#This Row],[Winter Blanket]]&gt;0,1,0)</f>
        <v>1</v>
      </c>
      <c r="AQ146" s="577"/>
      <c r="AR146" s="577"/>
      <c r="AS146" s="577"/>
      <c r="AT146" s="220" t="str">
        <f>IFERROR(VLOOKUP(Table_NFI[[#This Row],[Location]],CL,2,0),"")</f>
        <v>MMR001CMP007</v>
      </c>
      <c r="AU146" s="197"/>
    </row>
    <row r="147" spans="2:47" ht="18.75" hidden="1" customHeight="1" x14ac:dyDescent="0.3">
      <c r="B147" s="587">
        <v>43096</v>
      </c>
      <c r="C147" s="587" t="str">
        <f>MONTH(Table_NFI[[#This Row],[Distribution Date]]) &amp; "/" &amp; YEAR(Table_NFI[[#This Row],[Distribution Date]])</f>
        <v>12/2017</v>
      </c>
      <c r="D147" s="213" t="s">
        <v>825</v>
      </c>
      <c r="E147" s="213"/>
      <c r="F147" s="213" t="s">
        <v>378</v>
      </c>
      <c r="G147" s="213" t="s">
        <v>237</v>
      </c>
      <c r="H147" s="589" t="s">
        <v>280</v>
      </c>
      <c r="I147" s="197"/>
      <c r="J147" s="576"/>
      <c r="K147" s="576"/>
      <c r="L147" s="576"/>
      <c r="M147" s="576"/>
      <c r="N147" s="576"/>
      <c r="O147" s="576"/>
      <c r="P147" s="576"/>
      <c r="Q147" s="576"/>
      <c r="R147" s="576"/>
      <c r="S147" s="576"/>
      <c r="T147" s="576"/>
      <c r="U147" s="576"/>
      <c r="V147" s="576"/>
      <c r="W147" s="576"/>
      <c r="X147" s="576">
        <v>91</v>
      </c>
      <c r="Y147" s="576"/>
      <c r="Z147" s="576"/>
      <c r="AA147" s="576"/>
      <c r="AB147" s="576"/>
      <c r="AC147" s="577"/>
      <c r="AD147" s="577"/>
      <c r="AE147" s="577"/>
      <c r="AF147" s="577"/>
      <c r="AG147" s="577"/>
      <c r="AH147" s="577"/>
      <c r="AI147" s="577"/>
      <c r="AJ147" s="577"/>
      <c r="AK147" s="577"/>
      <c r="AL147" s="577"/>
      <c r="AM147" s="577"/>
      <c r="AN147" s="577"/>
      <c r="AO147" s="577"/>
      <c r="AP147" s="577">
        <f>IF(Table_NFI[[#This Row],[Winter Clothes Adult]]+Table_NFI[[#This Row],[Winter Clothes Children]]+Table_NFI[[#This Row],[Winter Items Other]]+Table_NFI[[#This Row],[Winter Blanket]]&gt;0,1,0)</f>
        <v>1</v>
      </c>
      <c r="AQ147" s="577"/>
      <c r="AR147" s="577"/>
      <c r="AS147" s="577"/>
      <c r="AT147" s="220" t="str">
        <f>IFERROR(VLOOKUP(Table_NFI[[#This Row],[Location]],CL,2,0),"")</f>
        <v>MMR001CMP009</v>
      </c>
      <c r="AU147" s="197"/>
    </row>
    <row r="148" spans="2:47" ht="18.75" hidden="1" customHeight="1" x14ac:dyDescent="0.3">
      <c r="B148" s="587">
        <v>43096</v>
      </c>
      <c r="C148" s="587" t="str">
        <f>MONTH(Table_NFI[[#This Row],[Distribution Date]]) &amp; "/" &amp; YEAR(Table_NFI[[#This Row],[Distribution Date]])</f>
        <v>12/2017</v>
      </c>
      <c r="D148" s="213" t="s">
        <v>825</v>
      </c>
      <c r="E148" s="213"/>
      <c r="F148" s="213" t="s">
        <v>378</v>
      </c>
      <c r="G148" s="213" t="s">
        <v>237</v>
      </c>
      <c r="H148" s="589" t="s">
        <v>238</v>
      </c>
      <c r="I148" s="197"/>
      <c r="J148" s="576"/>
      <c r="K148" s="576"/>
      <c r="L148" s="576"/>
      <c r="M148" s="576"/>
      <c r="N148" s="576"/>
      <c r="O148" s="576"/>
      <c r="P148" s="576"/>
      <c r="Q148" s="576"/>
      <c r="R148" s="576"/>
      <c r="S148" s="576"/>
      <c r="T148" s="576"/>
      <c r="U148" s="576"/>
      <c r="V148" s="576"/>
      <c r="W148" s="576"/>
      <c r="X148" s="576">
        <v>69</v>
      </c>
      <c r="Y148" s="576"/>
      <c r="Z148" s="576"/>
      <c r="AA148" s="576"/>
      <c r="AB148" s="576"/>
      <c r="AC148" s="577"/>
      <c r="AD148" s="577"/>
      <c r="AE148" s="577"/>
      <c r="AF148" s="577"/>
      <c r="AG148" s="577"/>
      <c r="AH148" s="577"/>
      <c r="AI148" s="577"/>
      <c r="AJ148" s="577"/>
      <c r="AK148" s="577"/>
      <c r="AL148" s="577"/>
      <c r="AM148" s="577"/>
      <c r="AN148" s="577"/>
      <c r="AO148" s="577"/>
      <c r="AP148" s="577">
        <f>IF(Table_NFI[[#This Row],[Winter Clothes Adult]]+Table_NFI[[#This Row],[Winter Clothes Children]]+Table_NFI[[#This Row],[Winter Items Other]]+Table_NFI[[#This Row],[Winter Blanket]]&gt;0,1,0)</f>
        <v>1</v>
      </c>
      <c r="AQ148" s="577"/>
      <c r="AR148" s="577"/>
      <c r="AS148" s="577"/>
      <c r="AT148" s="220" t="str">
        <f>IFERROR(VLOOKUP(Table_NFI[[#This Row],[Location]],CL,2,0),"")</f>
        <v>MMR001CMP001</v>
      </c>
      <c r="AU148" s="197"/>
    </row>
    <row r="149" spans="2:47" ht="18.75" hidden="1" customHeight="1" x14ac:dyDescent="0.3">
      <c r="B149" s="587">
        <v>43096</v>
      </c>
      <c r="C149" s="587" t="str">
        <f>MONTH(Table_NFI[[#This Row],[Distribution Date]]) &amp; "/" &amp; YEAR(Table_NFI[[#This Row],[Distribution Date]])</f>
        <v>12/2017</v>
      </c>
      <c r="D149" s="213" t="s">
        <v>825</v>
      </c>
      <c r="E149" s="213"/>
      <c r="F149" s="213" t="s">
        <v>378</v>
      </c>
      <c r="G149" s="213" t="s">
        <v>237</v>
      </c>
      <c r="H149" s="589" t="s">
        <v>248</v>
      </c>
      <c r="I149" s="197"/>
      <c r="J149" s="576"/>
      <c r="K149" s="576"/>
      <c r="L149" s="576"/>
      <c r="M149" s="576"/>
      <c r="N149" s="576"/>
      <c r="O149" s="576"/>
      <c r="P149" s="576"/>
      <c r="Q149" s="576"/>
      <c r="R149" s="576"/>
      <c r="S149" s="576"/>
      <c r="T149" s="576"/>
      <c r="U149" s="576"/>
      <c r="V149" s="576"/>
      <c r="W149" s="576"/>
      <c r="X149" s="576">
        <v>7</v>
      </c>
      <c r="Y149" s="576"/>
      <c r="Z149" s="576"/>
      <c r="AA149" s="576"/>
      <c r="AB149" s="576"/>
      <c r="AC149" s="577"/>
      <c r="AD149" s="577"/>
      <c r="AE149" s="577"/>
      <c r="AF149" s="577"/>
      <c r="AG149" s="577"/>
      <c r="AH149" s="577"/>
      <c r="AI149" s="577"/>
      <c r="AJ149" s="577"/>
      <c r="AK149" s="577"/>
      <c r="AL149" s="577"/>
      <c r="AM149" s="577"/>
      <c r="AN149" s="577"/>
      <c r="AO149" s="577"/>
      <c r="AP149" s="577">
        <f>IF(Table_NFI[[#This Row],[Winter Clothes Adult]]+Table_NFI[[#This Row],[Winter Clothes Children]]+Table_NFI[[#This Row],[Winter Items Other]]+Table_NFI[[#This Row],[Winter Blanket]]&gt;0,1,0)</f>
        <v>1</v>
      </c>
      <c r="AQ149" s="577"/>
      <c r="AR149" s="577"/>
      <c r="AS149" s="577"/>
      <c r="AT149" s="220" t="str">
        <f>IFERROR(VLOOKUP(Table_NFI[[#This Row],[Location]],CL,2,0),"")</f>
        <v>MMR001CMP004</v>
      </c>
      <c r="AU149" s="197"/>
    </row>
    <row r="150" spans="2:47" ht="18.75" hidden="1" customHeight="1" x14ac:dyDescent="0.3">
      <c r="B150" s="587">
        <v>43096</v>
      </c>
      <c r="C150" s="587" t="str">
        <f>MONTH(Table_NFI[[#This Row],[Distribution Date]]) &amp; "/" &amp; YEAR(Table_NFI[[#This Row],[Distribution Date]])</f>
        <v>12/2017</v>
      </c>
      <c r="D150" s="213" t="s">
        <v>825</v>
      </c>
      <c r="E150" s="213"/>
      <c r="F150" s="213" t="s">
        <v>378</v>
      </c>
      <c r="G150" s="213" t="s">
        <v>237</v>
      </c>
      <c r="H150" s="589" t="s">
        <v>250</v>
      </c>
      <c r="I150" s="197"/>
      <c r="J150" s="576"/>
      <c r="K150" s="576"/>
      <c r="L150" s="576"/>
      <c r="M150" s="576"/>
      <c r="N150" s="576"/>
      <c r="O150" s="576"/>
      <c r="P150" s="576"/>
      <c r="Q150" s="576"/>
      <c r="R150" s="576"/>
      <c r="S150" s="576"/>
      <c r="T150" s="576"/>
      <c r="U150" s="576"/>
      <c r="V150" s="576"/>
      <c r="W150" s="576"/>
      <c r="X150" s="576">
        <v>30</v>
      </c>
      <c r="Y150" s="576"/>
      <c r="Z150" s="576"/>
      <c r="AA150" s="576"/>
      <c r="AB150" s="576"/>
      <c r="AC150" s="577"/>
      <c r="AD150" s="577"/>
      <c r="AE150" s="577"/>
      <c r="AF150" s="577"/>
      <c r="AG150" s="577"/>
      <c r="AH150" s="577"/>
      <c r="AI150" s="577"/>
      <c r="AJ150" s="577"/>
      <c r="AK150" s="577"/>
      <c r="AL150" s="577"/>
      <c r="AM150" s="577"/>
      <c r="AN150" s="577"/>
      <c r="AO150" s="577"/>
      <c r="AP150" s="577">
        <f>IF(Table_NFI[[#This Row],[Winter Clothes Adult]]+Table_NFI[[#This Row],[Winter Clothes Children]]+Table_NFI[[#This Row],[Winter Items Other]]+Table_NFI[[#This Row],[Winter Blanket]]&gt;0,1,0)</f>
        <v>1</v>
      </c>
      <c r="AQ150" s="577"/>
      <c r="AR150" s="577"/>
      <c r="AS150" s="577"/>
      <c r="AT150" s="220" t="str">
        <f>IFERROR(VLOOKUP(Table_NFI[[#This Row],[Location]],CL,2,0),"")</f>
        <v>MMR001CMP003</v>
      </c>
      <c r="AU150" s="197"/>
    </row>
    <row r="151" spans="2:47" ht="18.75" hidden="1" customHeight="1" x14ac:dyDescent="0.3">
      <c r="B151" s="587">
        <v>43096</v>
      </c>
      <c r="C151" s="587" t="str">
        <f>MONTH(Table_NFI[[#This Row],[Distribution Date]]) &amp; "/" &amp; YEAR(Table_NFI[[#This Row],[Distribution Date]])</f>
        <v>12/2017</v>
      </c>
      <c r="D151" s="213" t="s">
        <v>825</v>
      </c>
      <c r="E151" s="213"/>
      <c r="F151" s="213" t="s">
        <v>378</v>
      </c>
      <c r="G151" s="213" t="s">
        <v>237</v>
      </c>
      <c r="H151" s="589" t="s">
        <v>274</v>
      </c>
      <c r="I151" s="197"/>
      <c r="J151" s="576"/>
      <c r="K151" s="576"/>
      <c r="L151" s="576"/>
      <c r="M151" s="576"/>
      <c r="N151" s="576"/>
      <c r="O151" s="576"/>
      <c r="P151" s="576"/>
      <c r="Q151" s="576"/>
      <c r="R151" s="576"/>
      <c r="S151" s="576"/>
      <c r="T151" s="576"/>
      <c r="U151" s="576"/>
      <c r="V151" s="576"/>
      <c r="W151" s="576"/>
      <c r="X151" s="576">
        <v>46</v>
      </c>
      <c r="Y151" s="576"/>
      <c r="Z151" s="576"/>
      <c r="AA151" s="576"/>
      <c r="AB151" s="576"/>
      <c r="AC151" s="577"/>
      <c r="AD151" s="577"/>
      <c r="AE151" s="577"/>
      <c r="AF151" s="577"/>
      <c r="AG151" s="577"/>
      <c r="AH151" s="577"/>
      <c r="AI151" s="577"/>
      <c r="AJ151" s="577"/>
      <c r="AK151" s="577"/>
      <c r="AL151" s="577"/>
      <c r="AM151" s="577"/>
      <c r="AN151" s="577"/>
      <c r="AO151" s="577"/>
      <c r="AP151" s="577">
        <f>IF(Table_NFI[[#This Row],[Winter Clothes Adult]]+Table_NFI[[#This Row],[Winter Clothes Children]]+Table_NFI[[#This Row],[Winter Items Other]]+Table_NFI[[#This Row],[Winter Blanket]]&gt;0,1,0)</f>
        <v>1</v>
      </c>
      <c r="AQ151" s="577"/>
      <c r="AR151" s="577"/>
      <c r="AS151" s="577"/>
      <c r="AT151" s="220" t="str">
        <f>IFERROR(VLOOKUP(Table_NFI[[#This Row],[Location]],CL,2,0),"")</f>
        <v>MMR001CMP005</v>
      </c>
      <c r="AU151" s="197"/>
    </row>
    <row r="152" spans="2:47" ht="18.75" hidden="1" customHeight="1" x14ac:dyDescent="0.3">
      <c r="B152" s="587">
        <v>43096</v>
      </c>
      <c r="C152" s="587" t="str">
        <f>MONTH(Table_NFI[[#This Row],[Distribution Date]]) &amp; "/" &amp; YEAR(Table_NFI[[#This Row],[Distribution Date]])</f>
        <v>12/2017</v>
      </c>
      <c r="D152" s="213" t="s">
        <v>825</v>
      </c>
      <c r="E152" s="213"/>
      <c r="F152" s="213" t="s">
        <v>378</v>
      </c>
      <c r="G152" s="213" t="s">
        <v>237</v>
      </c>
      <c r="H152" s="589" t="s">
        <v>1031</v>
      </c>
      <c r="I152" s="197"/>
      <c r="J152" s="576"/>
      <c r="K152" s="576"/>
      <c r="L152" s="576"/>
      <c r="M152" s="576"/>
      <c r="N152" s="576"/>
      <c r="O152" s="576"/>
      <c r="P152" s="576"/>
      <c r="Q152" s="576"/>
      <c r="R152" s="576"/>
      <c r="S152" s="576"/>
      <c r="T152" s="576"/>
      <c r="U152" s="576"/>
      <c r="V152" s="576"/>
      <c r="W152" s="576"/>
      <c r="X152" s="576">
        <v>54</v>
      </c>
      <c r="Y152" s="576"/>
      <c r="Z152" s="576"/>
      <c r="AA152" s="576"/>
      <c r="AB152" s="576"/>
      <c r="AC152" s="577"/>
      <c r="AD152" s="577"/>
      <c r="AE152" s="577"/>
      <c r="AF152" s="577"/>
      <c r="AG152" s="577"/>
      <c r="AH152" s="577"/>
      <c r="AI152" s="577"/>
      <c r="AJ152" s="577"/>
      <c r="AK152" s="577"/>
      <c r="AL152" s="577"/>
      <c r="AM152" s="577"/>
      <c r="AN152" s="577"/>
      <c r="AO152" s="577"/>
      <c r="AP152" s="577">
        <f>IF(Table_NFI[[#This Row],[Winter Clothes Adult]]+Table_NFI[[#This Row],[Winter Clothes Children]]+Table_NFI[[#This Row],[Winter Items Other]]+Table_NFI[[#This Row],[Winter Blanket]]&gt;0,1,0)</f>
        <v>1</v>
      </c>
      <c r="AQ152" s="577"/>
      <c r="AR152" s="577"/>
      <c r="AS152" s="577"/>
      <c r="AT152" s="220" t="str">
        <f>IFERROR(VLOOKUP(Table_NFI[[#This Row],[Location]],CL,2,0),"")</f>
        <v>MMR001CMP023</v>
      </c>
      <c r="AU152" s="197"/>
    </row>
    <row r="153" spans="2:47" ht="18.75" hidden="1" customHeight="1" x14ac:dyDescent="0.3">
      <c r="B153" s="587">
        <v>43096</v>
      </c>
      <c r="C153" s="587" t="str">
        <f>MONTH(Table_NFI[[#This Row],[Distribution Date]]) &amp; "/" &amp; YEAR(Table_NFI[[#This Row],[Distribution Date]])</f>
        <v>12/2017</v>
      </c>
      <c r="D153" s="213" t="s">
        <v>825</v>
      </c>
      <c r="E153" s="213"/>
      <c r="F153" s="213" t="s">
        <v>378</v>
      </c>
      <c r="G153" s="213" t="s">
        <v>237</v>
      </c>
      <c r="H153" s="589" t="s">
        <v>1525</v>
      </c>
      <c r="I153" s="197"/>
      <c r="J153" s="576"/>
      <c r="K153" s="576"/>
      <c r="L153" s="576"/>
      <c r="M153" s="576"/>
      <c r="N153" s="576"/>
      <c r="O153" s="576"/>
      <c r="P153" s="576"/>
      <c r="Q153" s="576"/>
      <c r="R153" s="576"/>
      <c r="S153" s="576"/>
      <c r="T153" s="576"/>
      <c r="U153" s="576"/>
      <c r="V153" s="576"/>
      <c r="W153" s="576"/>
      <c r="X153" s="576">
        <v>20</v>
      </c>
      <c r="Y153" s="576"/>
      <c r="Z153" s="576"/>
      <c r="AA153" s="576"/>
      <c r="AB153" s="576"/>
      <c r="AC153" s="577"/>
      <c r="AD153" s="577"/>
      <c r="AE153" s="577"/>
      <c r="AF153" s="577"/>
      <c r="AG153" s="577"/>
      <c r="AH153" s="577"/>
      <c r="AI153" s="577"/>
      <c r="AJ153" s="577"/>
      <c r="AK153" s="577"/>
      <c r="AL153" s="577"/>
      <c r="AM153" s="577"/>
      <c r="AN153" s="577"/>
      <c r="AO153" s="577"/>
      <c r="AP153" s="577">
        <f>IF(Table_NFI[[#This Row],[Winter Clothes Adult]]+Table_NFI[[#This Row],[Winter Clothes Children]]+Table_NFI[[#This Row],[Winter Items Other]]+Table_NFI[[#This Row],[Winter Blanket]]&gt;0,1,0)</f>
        <v>1</v>
      </c>
      <c r="AQ153" s="577"/>
      <c r="AR153" s="577"/>
      <c r="AS153" s="577"/>
      <c r="AT153" s="220" t="str">
        <f>IFERROR(VLOOKUP(Table_NFI[[#This Row],[Location]],CL,2,0),"")</f>
        <v>MMR001CMP010</v>
      </c>
      <c r="AU153" s="197"/>
    </row>
    <row r="154" spans="2:47" ht="18.75" hidden="1" customHeight="1" x14ac:dyDescent="0.3">
      <c r="B154" s="587">
        <v>43096</v>
      </c>
      <c r="C154" s="587" t="str">
        <f>MONTH(Table_NFI[[#This Row],[Distribution Date]]) &amp; "/" &amp; YEAR(Table_NFI[[#This Row],[Distribution Date]])</f>
        <v>12/2017</v>
      </c>
      <c r="D154" s="213" t="s">
        <v>825</v>
      </c>
      <c r="E154" s="213"/>
      <c r="F154" s="213" t="s">
        <v>378</v>
      </c>
      <c r="G154" s="590" t="s">
        <v>180</v>
      </c>
      <c r="H154" s="213" t="s">
        <v>286</v>
      </c>
      <c r="I154" s="197"/>
      <c r="J154" s="576"/>
      <c r="K154" s="576"/>
      <c r="L154" s="576"/>
      <c r="M154" s="576"/>
      <c r="N154" s="576"/>
      <c r="O154" s="576"/>
      <c r="P154" s="576"/>
      <c r="Q154" s="576"/>
      <c r="R154" s="576"/>
      <c r="S154" s="576"/>
      <c r="T154" s="576"/>
      <c r="U154" s="576"/>
      <c r="V154" s="576"/>
      <c r="W154" s="576"/>
      <c r="X154" s="576">
        <v>23</v>
      </c>
      <c r="Y154" s="576"/>
      <c r="Z154" s="576"/>
      <c r="AA154" s="576"/>
      <c r="AB154" s="576"/>
      <c r="AC154" s="577"/>
      <c r="AD154" s="577"/>
      <c r="AE154" s="577"/>
      <c r="AF154" s="577"/>
      <c r="AG154" s="577"/>
      <c r="AH154" s="577"/>
      <c r="AI154" s="577"/>
      <c r="AJ154" s="577"/>
      <c r="AK154" s="577"/>
      <c r="AL154" s="577"/>
      <c r="AM154" s="577"/>
      <c r="AN154" s="577"/>
      <c r="AO154" s="577"/>
      <c r="AP154" s="577">
        <f>IF(Table_NFI[[#This Row],[Winter Clothes Adult]]+Table_NFI[[#This Row],[Winter Clothes Children]]+Table_NFI[[#This Row],[Winter Items Other]]+Table_NFI[[#This Row],[Winter Blanket]]&gt;0,1,0)</f>
        <v>1</v>
      </c>
      <c r="AQ154" s="577"/>
      <c r="AR154" s="577"/>
      <c r="AS154" s="577"/>
      <c r="AT154" s="220" t="str">
        <f>IFERROR(VLOOKUP(Table_NFI[[#This Row],[Location]],CL,2,0),"")</f>
        <v>MMR001CMP152</v>
      </c>
      <c r="AU154" s="197"/>
    </row>
    <row r="155" spans="2:47" ht="18.75" hidden="1" customHeight="1" x14ac:dyDescent="0.3">
      <c r="B155" s="587">
        <v>43096</v>
      </c>
      <c r="C155" s="587" t="str">
        <f>MONTH(Table_NFI[[#This Row],[Distribution Date]]) &amp; "/" &amp; YEAR(Table_NFI[[#This Row],[Distribution Date]])</f>
        <v>12/2017</v>
      </c>
      <c r="D155" s="213" t="s">
        <v>825</v>
      </c>
      <c r="E155" s="213"/>
      <c r="F155" s="213" t="s">
        <v>378</v>
      </c>
      <c r="G155" s="590" t="s">
        <v>180</v>
      </c>
      <c r="H155" s="213" t="s">
        <v>181</v>
      </c>
      <c r="I155" s="197"/>
      <c r="J155" s="576"/>
      <c r="K155" s="576"/>
      <c r="L155" s="576"/>
      <c r="M155" s="576"/>
      <c r="N155" s="576"/>
      <c r="O155" s="576"/>
      <c r="P155" s="576"/>
      <c r="Q155" s="576"/>
      <c r="R155" s="576"/>
      <c r="S155" s="576"/>
      <c r="T155" s="576"/>
      <c r="U155" s="576"/>
      <c r="V155" s="576"/>
      <c r="W155" s="576"/>
      <c r="X155" s="576">
        <v>11</v>
      </c>
      <c r="Y155" s="576"/>
      <c r="Z155" s="576"/>
      <c r="AA155" s="576"/>
      <c r="AB155" s="576"/>
      <c r="AC155" s="577"/>
      <c r="AD155" s="577"/>
      <c r="AE155" s="577"/>
      <c r="AF155" s="577"/>
      <c r="AG155" s="577"/>
      <c r="AH155" s="577"/>
      <c r="AI155" s="577"/>
      <c r="AJ155" s="577"/>
      <c r="AK155" s="577"/>
      <c r="AL155" s="577"/>
      <c r="AM155" s="577"/>
      <c r="AN155" s="577"/>
      <c r="AO155" s="577"/>
      <c r="AP155" s="577">
        <f>IF(Table_NFI[[#This Row],[Winter Clothes Adult]]+Table_NFI[[#This Row],[Winter Clothes Children]]+Table_NFI[[#This Row],[Winter Items Other]]+Table_NFI[[#This Row],[Winter Blanket]]&gt;0,1,0)</f>
        <v>1</v>
      </c>
      <c r="AQ155" s="577"/>
      <c r="AR155" s="577"/>
      <c r="AS155" s="577"/>
      <c r="AT155" s="220" t="str">
        <f>IFERROR(VLOOKUP(Table_NFI[[#This Row],[Location]],CL,2,0),"")</f>
        <v>MMR001CMP080</v>
      </c>
      <c r="AU155" s="197"/>
    </row>
    <row r="156" spans="2:47" ht="18.75" hidden="1" customHeight="1" x14ac:dyDescent="0.3">
      <c r="B156" s="587">
        <v>43096</v>
      </c>
      <c r="C156" s="587" t="str">
        <f>MONTH(Table_NFI[[#This Row],[Distribution Date]]) &amp; "/" &amp; YEAR(Table_NFI[[#This Row],[Distribution Date]])</f>
        <v>12/2017</v>
      </c>
      <c r="D156" s="213" t="s">
        <v>825</v>
      </c>
      <c r="E156" s="213"/>
      <c r="F156" s="213" t="s">
        <v>378</v>
      </c>
      <c r="G156" s="590" t="s">
        <v>180</v>
      </c>
      <c r="H156" s="213" t="s">
        <v>1582</v>
      </c>
      <c r="I156" s="197"/>
      <c r="J156" s="576"/>
      <c r="K156" s="576"/>
      <c r="L156" s="576"/>
      <c r="M156" s="576"/>
      <c r="N156" s="576"/>
      <c r="O156" s="576"/>
      <c r="P156" s="576"/>
      <c r="Q156" s="576"/>
      <c r="R156" s="576"/>
      <c r="S156" s="576"/>
      <c r="T156" s="576"/>
      <c r="U156" s="576"/>
      <c r="V156" s="576"/>
      <c r="W156" s="576"/>
      <c r="X156" s="576">
        <v>54</v>
      </c>
      <c r="Y156" s="576"/>
      <c r="Z156" s="576"/>
      <c r="AA156" s="576"/>
      <c r="AB156" s="576"/>
      <c r="AC156" s="577"/>
      <c r="AD156" s="577"/>
      <c r="AE156" s="577"/>
      <c r="AF156" s="577"/>
      <c r="AG156" s="577"/>
      <c r="AH156" s="577"/>
      <c r="AI156" s="577"/>
      <c r="AJ156" s="577"/>
      <c r="AK156" s="577"/>
      <c r="AL156" s="577"/>
      <c r="AM156" s="577"/>
      <c r="AN156" s="577"/>
      <c r="AO156" s="577"/>
      <c r="AP156" s="577">
        <f>IF(Table_NFI[[#This Row],[Winter Clothes Adult]]+Table_NFI[[#This Row],[Winter Clothes Children]]+Table_NFI[[#This Row],[Winter Items Other]]+Table_NFI[[#This Row],[Winter Blanket]]&gt;0,1,0)</f>
        <v>1</v>
      </c>
      <c r="AQ156" s="577"/>
      <c r="AR156" s="577"/>
      <c r="AS156" s="577"/>
      <c r="AT156" s="220" t="str">
        <f>IFERROR(VLOOKUP(Table_NFI[[#This Row],[Location]],CL,2,0),"")</f>
        <v/>
      </c>
      <c r="AU156" s="197"/>
    </row>
    <row r="157" spans="2:47" ht="18.75" hidden="1" customHeight="1" x14ac:dyDescent="0.3">
      <c r="B157" s="587">
        <v>43096</v>
      </c>
      <c r="C157" s="587" t="str">
        <f>MONTH(Table_NFI[[#This Row],[Distribution Date]]) &amp; "/" &amp; YEAR(Table_NFI[[#This Row],[Distribution Date]])</f>
        <v>12/2017</v>
      </c>
      <c r="D157" s="213" t="s">
        <v>825</v>
      </c>
      <c r="E157" s="213" t="s">
        <v>1583</v>
      </c>
      <c r="F157" s="213" t="s">
        <v>378</v>
      </c>
      <c r="G157" s="213" t="s">
        <v>301</v>
      </c>
      <c r="H157" s="590" t="s">
        <v>305</v>
      </c>
      <c r="I157" s="197"/>
      <c r="J157" s="576"/>
      <c r="K157" s="576"/>
      <c r="L157" s="576"/>
      <c r="M157" s="576"/>
      <c r="N157" s="576"/>
      <c r="O157" s="576"/>
      <c r="P157" s="576"/>
      <c r="Q157" s="576"/>
      <c r="R157" s="576"/>
      <c r="S157" s="576"/>
      <c r="T157" s="576"/>
      <c r="U157" s="576">
        <v>344</v>
      </c>
      <c r="V157" s="576">
        <v>602</v>
      </c>
      <c r="W157" s="576">
        <v>1032</v>
      </c>
      <c r="X157" s="576">
        <v>172</v>
      </c>
      <c r="Y157" s="576"/>
      <c r="Z157" s="576"/>
      <c r="AA157" s="576"/>
      <c r="AB157" s="576"/>
      <c r="AC157" s="577"/>
      <c r="AD157" s="577"/>
      <c r="AE157" s="577"/>
      <c r="AF157" s="577"/>
      <c r="AG157" s="577"/>
      <c r="AH157" s="577"/>
      <c r="AI157" s="577"/>
      <c r="AJ157" s="577"/>
      <c r="AK157" s="577"/>
      <c r="AL157" s="577"/>
      <c r="AM157" s="577"/>
      <c r="AN157" s="577"/>
      <c r="AO157" s="577"/>
      <c r="AP157" s="577">
        <f>IF(Table_NFI[[#This Row],[Winter Clothes Adult]]+Table_NFI[[#This Row],[Winter Clothes Children]]+Table_NFI[[#This Row],[Winter Items Other]]+Table_NFI[[#This Row],[Winter Blanket]]&gt;0,1,0)</f>
        <v>1</v>
      </c>
      <c r="AQ157" s="577"/>
      <c r="AR157" s="577"/>
      <c r="AS157" s="577"/>
      <c r="AT157" s="220" t="str">
        <f>IFERROR(VLOOKUP(Table_NFI[[#This Row],[Location]],CL,2,0),"")</f>
        <v>MMR001CMP067</v>
      </c>
      <c r="AU157" s="197"/>
    </row>
    <row r="158" spans="2:47" ht="18.75" hidden="1" customHeight="1" x14ac:dyDescent="0.3">
      <c r="B158" s="587">
        <v>43096</v>
      </c>
      <c r="C158" s="587" t="str">
        <f>MONTH(Table_NFI[[#This Row],[Distribution Date]]) &amp; "/" &amp; YEAR(Table_NFI[[#This Row],[Distribution Date]])</f>
        <v>12/2017</v>
      </c>
      <c r="D158" s="213" t="s">
        <v>825</v>
      </c>
      <c r="E158" s="213" t="s">
        <v>1583</v>
      </c>
      <c r="F158" s="213" t="s">
        <v>378</v>
      </c>
      <c r="G158" s="213" t="s">
        <v>301</v>
      </c>
      <c r="H158" s="590" t="s">
        <v>307</v>
      </c>
      <c r="I158" s="197"/>
      <c r="J158" s="576"/>
      <c r="K158" s="576"/>
      <c r="L158" s="576"/>
      <c r="M158" s="576"/>
      <c r="N158" s="576"/>
      <c r="O158" s="576"/>
      <c r="P158" s="576"/>
      <c r="Q158" s="576"/>
      <c r="R158" s="576"/>
      <c r="S158" s="576"/>
      <c r="T158" s="576"/>
      <c r="U158" s="576">
        <v>212</v>
      </c>
      <c r="V158" s="576">
        <v>371</v>
      </c>
      <c r="W158" s="576">
        <v>636</v>
      </c>
      <c r="X158" s="576">
        <v>106</v>
      </c>
      <c r="Y158" s="576"/>
      <c r="Z158" s="576"/>
      <c r="AA158" s="576"/>
      <c r="AB158" s="576"/>
      <c r="AC158" s="577"/>
      <c r="AD158" s="577"/>
      <c r="AE158" s="577"/>
      <c r="AF158" s="577"/>
      <c r="AG158" s="577"/>
      <c r="AH158" s="577"/>
      <c r="AI158" s="577"/>
      <c r="AJ158" s="577"/>
      <c r="AK158" s="577"/>
      <c r="AL158" s="577"/>
      <c r="AM158" s="577"/>
      <c r="AN158" s="577"/>
      <c r="AO158" s="577"/>
      <c r="AP158" s="577">
        <f>IF(Table_NFI[[#This Row],[Winter Clothes Adult]]+Table_NFI[[#This Row],[Winter Clothes Children]]+Table_NFI[[#This Row],[Winter Items Other]]+Table_NFI[[#This Row],[Winter Blanket]]&gt;0,1,0)</f>
        <v>1</v>
      </c>
      <c r="AQ158" s="577"/>
      <c r="AR158" s="577"/>
      <c r="AS158" s="577"/>
      <c r="AT158" s="220" t="str">
        <f>IFERROR(VLOOKUP(Table_NFI[[#This Row],[Location]],CL,2,0),"")</f>
        <v>MMR001CMP068</v>
      </c>
      <c r="AU158" s="197"/>
    </row>
    <row r="159" spans="2:47" ht="18.75" customHeight="1" x14ac:dyDescent="0.3">
      <c r="B159" s="587">
        <v>43096</v>
      </c>
      <c r="C159" s="587" t="str">
        <f>MONTH(Table_NFI[[#This Row],[Distribution Date]]) &amp; "/" &amp; YEAR(Table_NFI[[#This Row],[Distribution Date]])</f>
        <v>12/2017</v>
      </c>
      <c r="D159" s="213" t="s">
        <v>1480</v>
      </c>
      <c r="E159" s="213" t="s">
        <v>1609</v>
      </c>
      <c r="F159" s="213" t="s">
        <v>506</v>
      </c>
      <c r="G159" s="213" t="s">
        <v>1594</v>
      </c>
      <c r="H159" s="590" t="s">
        <v>291</v>
      </c>
      <c r="I159" s="197"/>
      <c r="J159" s="576"/>
      <c r="K159" s="576">
        <v>7</v>
      </c>
      <c r="L159" s="576"/>
      <c r="M159" s="576"/>
      <c r="N159" s="576"/>
      <c r="O159" s="576"/>
      <c r="P159" s="576"/>
      <c r="Q159" s="576"/>
      <c r="R159" s="576"/>
      <c r="S159" s="576"/>
      <c r="T159" s="576"/>
      <c r="U159" s="576"/>
      <c r="V159" s="576"/>
      <c r="W159" s="576"/>
      <c r="X159" s="576"/>
      <c r="Y159" s="576"/>
      <c r="Z159" s="576"/>
      <c r="AA159" s="576"/>
      <c r="AB159" s="576"/>
      <c r="AC159" s="577"/>
      <c r="AD159" s="577"/>
      <c r="AE159" s="577"/>
      <c r="AF159" s="577"/>
      <c r="AG159" s="577"/>
      <c r="AH159" s="577"/>
      <c r="AI159" s="577"/>
      <c r="AJ159" s="577"/>
      <c r="AK159" s="577"/>
      <c r="AL159" s="577"/>
      <c r="AM159" s="577"/>
      <c r="AN159" s="577"/>
      <c r="AO159" s="577"/>
      <c r="AP159" s="577">
        <f>IF(Table_NFI[[#This Row],[Winter Clothes Adult]]+Table_NFI[[#This Row],[Winter Clothes Children]]+Table_NFI[[#This Row],[Winter Items Other]]+Table_NFI[[#This Row],[Winter Blanket]]&gt;0,1,0)</f>
        <v>0</v>
      </c>
      <c r="AQ159" s="577"/>
      <c r="AR159" s="577"/>
      <c r="AS159" s="577"/>
      <c r="AT159" s="220" t="str">
        <f>IFERROR(VLOOKUP(Table_NFI[[#This Row],[Location]],CL,2,0),"")</f>
        <v>MMR015CMP004</v>
      </c>
      <c r="AU159" s="197"/>
    </row>
    <row r="160" spans="2:47" ht="18.75" customHeight="1" x14ac:dyDescent="0.3">
      <c r="B160" s="575">
        <v>43098</v>
      </c>
      <c r="C160" s="575" t="str">
        <f>MONTH(Table_NFI[[#This Row],[Distribution Date]]) &amp; "/" &amp; YEAR(Table_NFI[[#This Row],[Distribution Date]])</f>
        <v>12/2017</v>
      </c>
      <c r="D160" s="213" t="s">
        <v>1588</v>
      </c>
      <c r="E160" s="213" t="s">
        <v>1588</v>
      </c>
      <c r="F160" s="213" t="s">
        <v>506</v>
      </c>
      <c r="G160" s="213" t="s">
        <v>1594</v>
      </c>
      <c r="H160" s="213" t="s">
        <v>917</v>
      </c>
      <c r="I160" s="197"/>
      <c r="J160" s="576"/>
      <c r="K160" s="576"/>
      <c r="L160" s="576"/>
      <c r="M160" s="576"/>
      <c r="N160" s="576"/>
      <c r="O160" s="576"/>
      <c r="P160" s="576"/>
      <c r="Q160" s="576"/>
      <c r="R160" s="576"/>
      <c r="S160" s="576"/>
      <c r="T160" s="576"/>
      <c r="U160" s="576"/>
      <c r="V160" s="576"/>
      <c r="W160" s="576">
        <v>15</v>
      </c>
      <c r="X160" s="576"/>
      <c r="Y160" s="576"/>
      <c r="Z160" s="576"/>
      <c r="AA160" s="576"/>
      <c r="AB160" s="576"/>
      <c r="AC160" s="577"/>
      <c r="AD160" s="577"/>
      <c r="AE160" s="577"/>
      <c r="AF160" s="577"/>
      <c r="AG160" s="577"/>
      <c r="AH160" s="577"/>
      <c r="AI160" s="577"/>
      <c r="AJ160" s="577"/>
      <c r="AK160" s="577"/>
      <c r="AL160" s="577"/>
      <c r="AM160" s="577"/>
      <c r="AN160" s="577"/>
      <c r="AO160" s="577"/>
      <c r="AP160" s="577">
        <f>IF(Table_NFI[[#This Row],[Winter Clothes Adult]]+Table_NFI[[#This Row],[Winter Clothes Children]]+Table_NFI[[#This Row],[Winter Items Other]]+Table_NFI[[#This Row],[Winter Blanket]]&gt;0,1,0)</f>
        <v>1</v>
      </c>
      <c r="AQ160" s="577"/>
      <c r="AR160" s="577"/>
      <c r="AS160" s="577"/>
      <c r="AT160" s="220" t="str">
        <f>IFERROR(VLOOKUP(Table_NFI[[#This Row],[Location]],CL,2,0),"")</f>
        <v>MMR015CMP215</v>
      </c>
      <c r="AU160" s="197"/>
    </row>
    <row r="161" spans="2:47" ht="18.75" customHeight="1" x14ac:dyDescent="0.3">
      <c r="B161" s="575">
        <v>43098</v>
      </c>
      <c r="C161" s="575" t="str">
        <f>MONTH(Table_NFI[[#This Row],[Distribution Date]]) &amp; "/" &amp; YEAR(Table_NFI[[#This Row],[Distribution Date]])</f>
        <v>12/2017</v>
      </c>
      <c r="D161" s="213" t="s">
        <v>1588</v>
      </c>
      <c r="E161" s="213" t="s">
        <v>1588</v>
      </c>
      <c r="F161" s="213" t="s">
        <v>506</v>
      </c>
      <c r="G161" s="213" t="s">
        <v>1594</v>
      </c>
      <c r="H161" s="213" t="s">
        <v>291</v>
      </c>
      <c r="I161" s="197"/>
      <c r="J161" s="576"/>
      <c r="K161" s="576"/>
      <c r="L161" s="576"/>
      <c r="M161" s="576"/>
      <c r="N161" s="576"/>
      <c r="O161" s="576"/>
      <c r="P161" s="576"/>
      <c r="Q161" s="576"/>
      <c r="R161" s="576"/>
      <c r="S161" s="576"/>
      <c r="T161" s="576"/>
      <c r="U161" s="576"/>
      <c r="V161" s="576"/>
      <c r="W161" s="576">
        <v>8</v>
      </c>
      <c r="X161" s="576"/>
      <c r="Y161" s="576"/>
      <c r="Z161" s="576"/>
      <c r="AA161" s="576"/>
      <c r="AB161" s="576"/>
      <c r="AC161" s="577"/>
      <c r="AD161" s="577"/>
      <c r="AE161" s="577"/>
      <c r="AF161" s="577"/>
      <c r="AG161" s="577"/>
      <c r="AH161" s="577"/>
      <c r="AI161" s="577"/>
      <c r="AJ161" s="577"/>
      <c r="AK161" s="577"/>
      <c r="AL161" s="577"/>
      <c r="AM161" s="577"/>
      <c r="AN161" s="577"/>
      <c r="AO161" s="577"/>
      <c r="AP161" s="577">
        <f>IF(Table_NFI[[#This Row],[Winter Clothes Adult]]+Table_NFI[[#This Row],[Winter Clothes Children]]+Table_NFI[[#This Row],[Winter Items Other]]+Table_NFI[[#This Row],[Winter Blanket]]&gt;0,1,0)</f>
        <v>1</v>
      </c>
      <c r="AQ161" s="577"/>
      <c r="AR161" s="577"/>
      <c r="AS161" s="577"/>
      <c r="AT161" s="220" t="str">
        <f>IFERROR(VLOOKUP(Table_NFI[[#This Row],[Location]],CL,2,0),"")</f>
        <v>MMR015CMP004</v>
      </c>
      <c r="AU161" s="197"/>
    </row>
    <row r="162" spans="2:47" ht="18.75" customHeight="1" x14ac:dyDescent="0.3">
      <c r="B162" s="575">
        <v>43098</v>
      </c>
      <c r="C162" s="575" t="str">
        <f>MONTH(Table_NFI[[#This Row],[Distribution Date]]) &amp; "/" &amp; YEAR(Table_NFI[[#This Row],[Distribution Date]])</f>
        <v>12/2017</v>
      </c>
      <c r="D162" s="213" t="s">
        <v>1588</v>
      </c>
      <c r="E162" s="213" t="s">
        <v>1588</v>
      </c>
      <c r="F162" s="213" t="s">
        <v>506</v>
      </c>
      <c r="G162" s="213" t="s">
        <v>1594</v>
      </c>
      <c r="H162" s="213" t="s">
        <v>372</v>
      </c>
      <c r="I162" s="197"/>
      <c r="J162" s="576"/>
      <c r="K162" s="576"/>
      <c r="L162" s="576"/>
      <c r="M162" s="576"/>
      <c r="N162" s="576"/>
      <c r="O162" s="576"/>
      <c r="P162" s="576"/>
      <c r="Q162" s="576"/>
      <c r="R162" s="576"/>
      <c r="S162" s="576"/>
      <c r="T162" s="576"/>
      <c r="U162" s="576"/>
      <c r="V162" s="576"/>
      <c r="W162" s="576">
        <v>1</v>
      </c>
      <c r="X162" s="576"/>
      <c r="Y162" s="576"/>
      <c r="Z162" s="576"/>
      <c r="AA162" s="576"/>
      <c r="AB162" s="576"/>
      <c r="AC162" s="577"/>
      <c r="AD162" s="577"/>
      <c r="AE162" s="577"/>
      <c r="AF162" s="577"/>
      <c r="AG162" s="577"/>
      <c r="AH162" s="577"/>
      <c r="AI162" s="577"/>
      <c r="AJ162" s="577"/>
      <c r="AK162" s="577"/>
      <c r="AL162" s="577"/>
      <c r="AM162" s="577"/>
      <c r="AN162" s="577"/>
      <c r="AO162" s="577"/>
      <c r="AP162" s="577">
        <f>IF(Table_NFI[[#This Row],[Winter Clothes Adult]]+Table_NFI[[#This Row],[Winter Clothes Children]]+Table_NFI[[#This Row],[Winter Items Other]]+Table_NFI[[#This Row],[Winter Blanket]]&gt;0,1,0)</f>
        <v>1</v>
      </c>
      <c r="AQ162" s="577"/>
      <c r="AR162" s="577"/>
      <c r="AS162" s="577"/>
      <c r="AT162" s="220" t="str">
        <f>IFERROR(VLOOKUP(Table_NFI[[#This Row],[Location]],CL,2,0),"")</f>
        <v>MMR015CMP003</v>
      </c>
      <c r="AU162" s="197"/>
    </row>
    <row r="163" spans="2:47" ht="18.75" hidden="1" customHeight="1" x14ac:dyDescent="0.3">
      <c r="B163" s="587">
        <v>43098</v>
      </c>
      <c r="C163" s="587" t="str">
        <f>MONTH(Table_NFI[[#This Row],[Distribution Date]]) &amp; "/" &amp; YEAR(Table_NFI[[#This Row],[Distribution Date]])</f>
        <v>12/2017</v>
      </c>
      <c r="D163" s="235" t="s">
        <v>1574</v>
      </c>
      <c r="E163" s="235" t="s">
        <v>1574</v>
      </c>
      <c r="F163" s="235" t="s">
        <v>378</v>
      </c>
      <c r="G163" s="213" t="s">
        <v>151</v>
      </c>
      <c r="H163" s="590" t="s">
        <v>154</v>
      </c>
      <c r="I163" s="197"/>
      <c r="J163" s="576"/>
      <c r="K163" s="576"/>
      <c r="L163" s="576">
        <v>11</v>
      </c>
      <c r="M163" s="576"/>
      <c r="N163" s="576"/>
      <c r="O163" s="576"/>
      <c r="P163" s="576"/>
      <c r="Q163" s="576"/>
      <c r="R163" s="576"/>
      <c r="S163" s="576"/>
      <c r="T163" s="576"/>
      <c r="U163" s="576"/>
      <c r="V163" s="576"/>
      <c r="W163" s="576"/>
      <c r="X163" s="576"/>
      <c r="Y163" s="576"/>
      <c r="Z163" s="576"/>
      <c r="AA163" s="576"/>
      <c r="AB163" s="576"/>
      <c r="AC163" s="577"/>
      <c r="AD163" s="577"/>
      <c r="AE163" s="577"/>
      <c r="AF163" s="577"/>
      <c r="AG163" s="577"/>
      <c r="AH163" s="577"/>
      <c r="AI163" s="577"/>
      <c r="AJ163" s="577"/>
      <c r="AK163" s="577"/>
      <c r="AL163" s="577"/>
      <c r="AM163" s="577"/>
      <c r="AN163" s="577"/>
      <c r="AO163" s="577"/>
      <c r="AP163" s="577">
        <f>IF(Table_NFI[[#This Row],[Winter Clothes Adult]]+Table_NFI[[#This Row],[Winter Clothes Children]]+Table_NFI[[#This Row],[Winter Items Other]]+Table_NFI[[#This Row],[Winter Blanket]]&gt;0,1,0)</f>
        <v>0</v>
      </c>
      <c r="AQ163" s="577"/>
      <c r="AR163" s="577"/>
      <c r="AS163" s="577"/>
      <c r="AT163" s="220" t="str">
        <f>IFERROR(VLOOKUP(Table_NFI[[#This Row],[Location]],CL,2,0),"")</f>
        <v>MMR001CMP132</v>
      </c>
      <c r="AU163" s="197" t="s">
        <v>1578</v>
      </c>
    </row>
    <row r="164" spans="2:47" ht="18.75" hidden="1" customHeight="1" x14ac:dyDescent="0.3">
      <c r="B164" s="587">
        <v>43098</v>
      </c>
      <c r="C164" s="587" t="str">
        <f>MONTH(Table_NFI[[#This Row],[Distribution Date]]) &amp; "/" &amp; YEAR(Table_NFI[[#This Row],[Distribution Date]])</f>
        <v>12/2017</v>
      </c>
      <c r="D164" s="235" t="s">
        <v>1574</v>
      </c>
      <c r="E164" s="235" t="s">
        <v>1574</v>
      </c>
      <c r="F164" s="235" t="s">
        <v>378</v>
      </c>
      <c r="G164" s="213" t="s">
        <v>151</v>
      </c>
      <c r="H164" s="590" t="s">
        <v>911</v>
      </c>
      <c r="I164" s="197"/>
      <c r="J164" s="576"/>
      <c r="K164" s="576"/>
      <c r="L164" s="576">
        <v>3</v>
      </c>
      <c r="M164" s="576"/>
      <c r="N164" s="576"/>
      <c r="O164" s="576"/>
      <c r="P164" s="576"/>
      <c r="Q164" s="576"/>
      <c r="R164" s="576"/>
      <c r="S164" s="576"/>
      <c r="T164" s="576"/>
      <c r="U164" s="576"/>
      <c r="V164" s="576"/>
      <c r="W164" s="576"/>
      <c r="X164" s="576"/>
      <c r="Y164" s="576"/>
      <c r="Z164" s="576"/>
      <c r="AA164" s="576"/>
      <c r="AB164" s="576"/>
      <c r="AC164" s="577"/>
      <c r="AD164" s="577"/>
      <c r="AE164" s="577"/>
      <c r="AF164" s="577"/>
      <c r="AG164" s="577"/>
      <c r="AH164" s="577"/>
      <c r="AI164" s="577"/>
      <c r="AJ164" s="577"/>
      <c r="AK164" s="577"/>
      <c r="AL164" s="577"/>
      <c r="AM164" s="577"/>
      <c r="AN164" s="577"/>
      <c r="AO164" s="577"/>
      <c r="AP164" s="577">
        <f>IF(Table_NFI[[#This Row],[Winter Clothes Adult]]+Table_NFI[[#This Row],[Winter Clothes Children]]+Table_NFI[[#This Row],[Winter Items Other]]+Table_NFI[[#This Row],[Winter Blanket]]&gt;0,1,0)</f>
        <v>0</v>
      </c>
      <c r="AQ164" s="577"/>
      <c r="AR164" s="577"/>
      <c r="AS164" s="577"/>
      <c r="AT164" s="220" t="str">
        <f>IFERROR(VLOOKUP(Table_NFI[[#This Row],[Location]],CL,2,0),"")</f>
        <v>MMR001CMP228</v>
      </c>
      <c r="AU164" s="197" t="s">
        <v>1578</v>
      </c>
    </row>
    <row r="165" spans="2:47" ht="18.75" hidden="1" customHeight="1" x14ac:dyDescent="0.3">
      <c r="B165" s="587">
        <v>43098</v>
      </c>
      <c r="C165" s="587" t="str">
        <f>MONTH(Table_NFI[[#This Row],[Distribution Date]]) &amp; "/" &amp; YEAR(Table_NFI[[#This Row],[Distribution Date]])</f>
        <v>12/2017</v>
      </c>
      <c r="D165" s="235" t="s">
        <v>1574</v>
      </c>
      <c r="E165" s="235" t="s">
        <v>1574</v>
      </c>
      <c r="F165" s="235" t="s">
        <v>378</v>
      </c>
      <c r="G165" s="213" t="s">
        <v>151</v>
      </c>
      <c r="H165" s="589" t="s">
        <v>938</v>
      </c>
      <c r="I165" s="197"/>
      <c r="J165" s="576"/>
      <c r="K165" s="576"/>
      <c r="L165" s="576">
        <v>20</v>
      </c>
      <c r="M165" s="576"/>
      <c r="N165" s="576"/>
      <c r="O165" s="576"/>
      <c r="P165" s="576"/>
      <c r="Q165" s="576"/>
      <c r="R165" s="576"/>
      <c r="S165" s="576"/>
      <c r="T165" s="576"/>
      <c r="U165" s="576"/>
      <c r="V165" s="576"/>
      <c r="W165" s="576"/>
      <c r="X165" s="576"/>
      <c r="Y165" s="576"/>
      <c r="Z165" s="576"/>
      <c r="AA165" s="576"/>
      <c r="AB165" s="576"/>
      <c r="AC165" s="577"/>
      <c r="AD165" s="577"/>
      <c r="AE165" s="577"/>
      <c r="AF165" s="577"/>
      <c r="AG165" s="577"/>
      <c r="AH165" s="577"/>
      <c r="AI165" s="577"/>
      <c r="AJ165" s="577"/>
      <c r="AK165" s="577"/>
      <c r="AL165" s="577"/>
      <c r="AM165" s="577"/>
      <c r="AN165" s="577"/>
      <c r="AO165" s="577"/>
      <c r="AP165" s="577">
        <f>IF(Table_NFI[[#This Row],[Winter Clothes Adult]]+Table_NFI[[#This Row],[Winter Clothes Children]]+Table_NFI[[#This Row],[Winter Items Other]]+Table_NFI[[#This Row],[Winter Blanket]]&gt;0,1,0)</f>
        <v>0</v>
      </c>
      <c r="AQ165" s="577"/>
      <c r="AR165" s="577"/>
      <c r="AS165" s="577"/>
      <c r="AT165" s="220" t="str">
        <f>IFERROR(VLOOKUP(Table_NFI[[#This Row],[Location]],CL,2,0),"")</f>
        <v>MMR001CMP230</v>
      </c>
      <c r="AU165" s="197" t="s">
        <v>1578</v>
      </c>
    </row>
    <row r="166" spans="2:47" ht="18.75" customHeight="1" x14ac:dyDescent="0.3">
      <c r="B166" s="587">
        <v>43098</v>
      </c>
      <c r="C166" s="587" t="str">
        <f>MONTH(Table_NFI[[#This Row],[Distribution Date]]) &amp; "/" &amp; YEAR(Table_NFI[[#This Row],[Distribution Date]])</f>
        <v>12/2017</v>
      </c>
      <c r="D166" s="235" t="s">
        <v>1574</v>
      </c>
      <c r="E166" s="235" t="s">
        <v>1574</v>
      </c>
      <c r="F166" s="235" t="s">
        <v>506</v>
      </c>
      <c r="G166" s="235" t="s">
        <v>1594</v>
      </c>
      <c r="H166" s="590" t="s">
        <v>917</v>
      </c>
      <c r="I166" s="197"/>
      <c r="J166" s="576"/>
      <c r="K166" s="576"/>
      <c r="L166" s="576">
        <v>14</v>
      </c>
      <c r="M166" s="576"/>
      <c r="N166" s="576"/>
      <c r="O166" s="576"/>
      <c r="P166" s="576"/>
      <c r="Q166" s="576"/>
      <c r="R166" s="576"/>
      <c r="S166" s="576"/>
      <c r="T166" s="576"/>
      <c r="U166" s="576"/>
      <c r="V166" s="576"/>
      <c r="W166" s="576"/>
      <c r="X166" s="576"/>
      <c r="Y166" s="576"/>
      <c r="Z166" s="576"/>
      <c r="AA166" s="576"/>
      <c r="AB166" s="576"/>
      <c r="AC166" s="577"/>
      <c r="AD166" s="577"/>
      <c r="AE166" s="577"/>
      <c r="AF166" s="577"/>
      <c r="AG166" s="577"/>
      <c r="AH166" s="577"/>
      <c r="AI166" s="577"/>
      <c r="AJ166" s="577"/>
      <c r="AK166" s="577"/>
      <c r="AL166" s="577"/>
      <c r="AM166" s="577"/>
      <c r="AN166" s="577"/>
      <c r="AO166" s="577"/>
      <c r="AP166" s="577">
        <f>IF(Table_NFI[[#This Row],[Winter Clothes Adult]]+Table_NFI[[#This Row],[Winter Clothes Children]]+Table_NFI[[#This Row],[Winter Items Other]]+Table_NFI[[#This Row],[Winter Blanket]]&gt;0,1,0)</f>
        <v>0</v>
      </c>
      <c r="AQ166" s="577"/>
      <c r="AR166" s="577"/>
      <c r="AS166" s="577"/>
      <c r="AT166" s="220" t="str">
        <f>IFERROR(VLOOKUP(Table_NFI[[#This Row],[Location]],CL,2,0),"")</f>
        <v>MMR015CMP215</v>
      </c>
      <c r="AU166" s="197" t="s">
        <v>1578</v>
      </c>
    </row>
    <row r="167" spans="2:47" ht="18.75" customHeight="1" x14ac:dyDescent="0.3">
      <c r="B167" s="587">
        <v>43098</v>
      </c>
      <c r="C167" s="587" t="str">
        <f>MONTH(Table_NFI[[#This Row],[Distribution Date]]) &amp; "/" &amp; YEAR(Table_NFI[[#This Row],[Distribution Date]])</f>
        <v>12/2017</v>
      </c>
      <c r="D167" s="235" t="s">
        <v>1574</v>
      </c>
      <c r="E167" s="235" t="s">
        <v>1574</v>
      </c>
      <c r="F167" s="235" t="s">
        <v>506</v>
      </c>
      <c r="G167" s="235" t="s">
        <v>1594</v>
      </c>
      <c r="H167" s="213" t="s">
        <v>291</v>
      </c>
      <c r="I167" s="197"/>
      <c r="J167" s="576"/>
      <c r="K167" s="576"/>
      <c r="L167" s="576">
        <v>8</v>
      </c>
      <c r="M167" s="576"/>
      <c r="N167" s="576"/>
      <c r="O167" s="576"/>
      <c r="P167" s="576"/>
      <c r="Q167" s="576"/>
      <c r="R167" s="576"/>
      <c r="S167" s="576"/>
      <c r="T167" s="576"/>
      <c r="U167" s="576"/>
      <c r="V167" s="576"/>
      <c r="W167" s="576"/>
      <c r="X167" s="576"/>
      <c r="Y167" s="576"/>
      <c r="Z167" s="576"/>
      <c r="AA167" s="576"/>
      <c r="AB167" s="576"/>
      <c r="AC167" s="577"/>
      <c r="AD167" s="577"/>
      <c r="AE167" s="577"/>
      <c r="AF167" s="577"/>
      <c r="AG167" s="577"/>
      <c r="AH167" s="577"/>
      <c r="AI167" s="577"/>
      <c r="AJ167" s="577"/>
      <c r="AK167" s="577"/>
      <c r="AL167" s="577"/>
      <c r="AM167" s="577"/>
      <c r="AN167" s="577"/>
      <c r="AO167" s="577"/>
      <c r="AP167" s="577">
        <f>IF(Table_NFI[[#This Row],[Winter Clothes Adult]]+Table_NFI[[#This Row],[Winter Clothes Children]]+Table_NFI[[#This Row],[Winter Items Other]]+Table_NFI[[#This Row],[Winter Blanket]]&gt;0,1,0)</f>
        <v>0</v>
      </c>
      <c r="AQ167" s="577"/>
      <c r="AR167" s="577"/>
      <c r="AS167" s="577"/>
      <c r="AT167" s="220" t="str">
        <f>IFERROR(VLOOKUP(Table_NFI[[#This Row],[Location]],CL,2,0),"")</f>
        <v>MMR015CMP004</v>
      </c>
      <c r="AU167" s="197" t="s">
        <v>1578</v>
      </c>
    </row>
    <row r="168" spans="2:47" ht="18.75" hidden="1" customHeight="1" x14ac:dyDescent="0.3">
      <c r="B168" s="575">
        <v>43105</v>
      </c>
      <c r="C168" s="575" t="str">
        <f>MONTH(Table_NFI[[#This Row],[Distribution Date]]) &amp; "/" &amp; YEAR(Table_NFI[[#This Row],[Distribution Date]])</f>
        <v>1/2018</v>
      </c>
      <c r="D168" s="213" t="s">
        <v>1588</v>
      </c>
      <c r="E168" s="213" t="s">
        <v>1588</v>
      </c>
      <c r="F168" s="213" t="s">
        <v>506</v>
      </c>
      <c r="G168" s="213" t="s">
        <v>494</v>
      </c>
      <c r="H168" s="213" t="s">
        <v>1595</v>
      </c>
      <c r="I168" s="197"/>
      <c r="J168" s="576"/>
      <c r="K168" s="576"/>
      <c r="L168" s="576"/>
      <c r="M168" s="576"/>
      <c r="N168" s="576"/>
      <c r="O168" s="576"/>
      <c r="P168" s="576"/>
      <c r="Q168" s="576"/>
      <c r="R168" s="576"/>
      <c r="S168" s="576"/>
      <c r="T168" s="576"/>
      <c r="U168" s="576"/>
      <c r="V168" s="576"/>
      <c r="W168" s="576">
        <v>72</v>
      </c>
      <c r="X168" s="576"/>
      <c r="Y168" s="576"/>
      <c r="Z168" s="576"/>
      <c r="AA168" s="576">
        <v>10</v>
      </c>
      <c r="AB168" s="576"/>
      <c r="AC168" s="577"/>
      <c r="AD168" s="577"/>
      <c r="AE168" s="577"/>
      <c r="AF168" s="577"/>
      <c r="AG168" s="577"/>
      <c r="AH168" s="577"/>
      <c r="AI168" s="577"/>
      <c r="AJ168" s="577"/>
      <c r="AK168" s="577"/>
      <c r="AL168" s="577"/>
      <c r="AM168" s="577"/>
      <c r="AN168" s="577"/>
      <c r="AO168" s="577"/>
      <c r="AP168" s="577">
        <f>IF(Table_NFI[[#This Row],[Winter Clothes Adult]]+Table_NFI[[#This Row],[Winter Clothes Children]]+Table_NFI[[#This Row],[Winter Items Other]]+Table_NFI[[#This Row],[Winter Blanket]]&gt;0,1,0)</f>
        <v>1</v>
      </c>
      <c r="AQ168" s="577"/>
      <c r="AR168" s="577"/>
      <c r="AS168" s="577"/>
      <c r="AT168" s="220" t="str">
        <f>IFERROR(VLOOKUP(Table_NFI[[#This Row],[Location]],CL,2,0),"")</f>
        <v/>
      </c>
      <c r="AU168" s="197"/>
    </row>
    <row r="169" spans="2:47" ht="18.75" hidden="1" customHeight="1" x14ac:dyDescent="0.3">
      <c r="B169" s="587">
        <v>43105</v>
      </c>
      <c r="C169" s="587" t="str">
        <f>MONTH(Table_NFI[[#This Row],[Distribution Date]]) &amp; "/" &amp; YEAR(Table_NFI[[#This Row],[Distribution Date]])</f>
        <v>1/2018</v>
      </c>
      <c r="D169" s="591" t="s">
        <v>1588</v>
      </c>
      <c r="E169" s="591" t="s">
        <v>1611</v>
      </c>
      <c r="F169" s="213" t="s">
        <v>506</v>
      </c>
      <c r="G169" s="213" t="s">
        <v>494</v>
      </c>
      <c r="H169" s="567" t="s">
        <v>1595</v>
      </c>
      <c r="I169" s="197"/>
      <c r="J169" s="576"/>
      <c r="K169" s="576"/>
      <c r="L169" s="576"/>
      <c r="M169" s="576"/>
      <c r="N169" s="576"/>
      <c r="O169" s="576"/>
      <c r="P169" s="576"/>
      <c r="Q169" s="576"/>
      <c r="R169" s="576"/>
      <c r="S169" s="576"/>
      <c r="T169" s="576"/>
      <c r="U169" s="592">
        <v>144</v>
      </c>
      <c r="V169" s="576"/>
      <c r="W169" s="592">
        <v>144</v>
      </c>
      <c r="X169" s="592">
        <v>144</v>
      </c>
      <c r="Y169" s="576"/>
      <c r="Z169" s="576"/>
      <c r="AA169" s="576">
        <v>10</v>
      </c>
      <c r="AB169" s="576"/>
      <c r="AC169" s="577"/>
      <c r="AD169" s="577"/>
      <c r="AE169" s="577"/>
      <c r="AF169" s="577"/>
      <c r="AG169" s="577"/>
      <c r="AH169" s="577"/>
      <c r="AI169" s="577"/>
      <c r="AJ169" s="577"/>
      <c r="AK169" s="577"/>
      <c r="AL169" s="577"/>
      <c r="AM169" s="577"/>
      <c r="AN169" s="577"/>
      <c r="AO169" s="577"/>
      <c r="AP169" s="577">
        <f>IF(Table_NFI[[#This Row],[Winter Clothes Adult]]+Table_NFI[[#This Row],[Winter Clothes Children]]+Table_NFI[[#This Row],[Winter Items Other]]+Table_NFI[[#This Row],[Winter Blanket]]&gt;0,1,0)</f>
        <v>1</v>
      </c>
      <c r="AQ169" s="577"/>
      <c r="AR169" s="577"/>
      <c r="AS169" s="577"/>
      <c r="AT169" s="220" t="str">
        <f>IFERROR(VLOOKUP(Table_NFI[[#This Row],[Location]],CL,2,0),"")</f>
        <v/>
      </c>
      <c r="AU169" s="197"/>
    </row>
    <row r="170" spans="2:47" ht="18.75" hidden="1" customHeight="1" x14ac:dyDescent="0.3">
      <c r="B170" s="587">
        <v>43105</v>
      </c>
      <c r="C170" s="587" t="str">
        <f>MONTH(Table_NFI[[#This Row],[Distribution Date]]) &amp; "/" &amp; YEAR(Table_NFI[[#This Row],[Distribution Date]])</f>
        <v>1/2018</v>
      </c>
      <c r="D170" s="591" t="s">
        <v>1588</v>
      </c>
      <c r="E170" s="591" t="s">
        <v>1611</v>
      </c>
      <c r="F170" s="213" t="s">
        <v>506</v>
      </c>
      <c r="G170" s="213" t="s">
        <v>494</v>
      </c>
      <c r="H170" s="567" t="s">
        <v>1612</v>
      </c>
      <c r="I170" s="197"/>
      <c r="J170" s="576"/>
      <c r="K170" s="576"/>
      <c r="L170" s="576"/>
      <c r="M170" s="576"/>
      <c r="N170" s="576"/>
      <c r="O170" s="576"/>
      <c r="P170" s="576"/>
      <c r="Q170" s="576"/>
      <c r="R170" s="576"/>
      <c r="S170" s="576"/>
      <c r="T170" s="576"/>
      <c r="U170" s="592">
        <v>102</v>
      </c>
      <c r="V170" s="576"/>
      <c r="W170" s="592">
        <v>102</v>
      </c>
      <c r="X170" s="592">
        <v>102</v>
      </c>
      <c r="Y170" s="576"/>
      <c r="Z170" s="576"/>
      <c r="AA170" s="576">
        <v>10</v>
      </c>
      <c r="AB170" s="576"/>
      <c r="AC170" s="577"/>
      <c r="AD170" s="577"/>
      <c r="AE170" s="577"/>
      <c r="AF170" s="577"/>
      <c r="AG170" s="577"/>
      <c r="AH170" s="577"/>
      <c r="AI170" s="577"/>
      <c r="AJ170" s="577"/>
      <c r="AK170" s="577"/>
      <c r="AL170" s="577"/>
      <c r="AM170" s="577"/>
      <c r="AN170" s="577"/>
      <c r="AO170" s="577"/>
      <c r="AP170" s="577">
        <f>IF(Table_NFI[[#This Row],[Winter Clothes Adult]]+Table_NFI[[#This Row],[Winter Clothes Children]]+Table_NFI[[#This Row],[Winter Items Other]]+Table_NFI[[#This Row],[Winter Blanket]]&gt;0,1,0)</f>
        <v>1</v>
      </c>
      <c r="AQ170" s="577"/>
      <c r="AR170" s="577"/>
      <c r="AS170" s="577"/>
      <c r="AT170" s="220" t="str">
        <f>IFERROR(VLOOKUP(Table_NFI[[#This Row],[Location]],CL,2,0),"")</f>
        <v/>
      </c>
      <c r="AU170" s="197"/>
    </row>
    <row r="171" spans="2:47" ht="18.75" hidden="1" customHeight="1" x14ac:dyDescent="0.3">
      <c r="B171" s="587">
        <v>43105</v>
      </c>
      <c r="C171" s="587" t="str">
        <f>MONTH(Table_NFI[[#This Row],[Distribution Date]]) &amp; "/" &amp; YEAR(Table_NFI[[#This Row],[Distribution Date]])</f>
        <v>1/2018</v>
      </c>
      <c r="D171" s="591" t="s">
        <v>1588</v>
      </c>
      <c r="E171" s="591" t="s">
        <v>1611</v>
      </c>
      <c r="F171" s="213" t="s">
        <v>506</v>
      </c>
      <c r="G171" s="213" t="s">
        <v>494</v>
      </c>
      <c r="H171" s="567" t="s">
        <v>1616</v>
      </c>
      <c r="I171" s="197"/>
      <c r="J171" s="576"/>
      <c r="K171" s="576"/>
      <c r="L171" s="576"/>
      <c r="M171" s="576"/>
      <c r="N171" s="576"/>
      <c r="O171" s="576"/>
      <c r="P171" s="576"/>
      <c r="Q171" s="576"/>
      <c r="R171" s="576"/>
      <c r="S171" s="576"/>
      <c r="T171" s="576"/>
      <c r="U171" s="592">
        <v>152</v>
      </c>
      <c r="V171" s="576"/>
      <c r="W171" s="592">
        <v>152</v>
      </c>
      <c r="X171" s="592">
        <v>152</v>
      </c>
      <c r="Y171" s="576"/>
      <c r="Z171" s="576"/>
      <c r="AA171" s="576"/>
      <c r="AB171" s="576"/>
      <c r="AC171" s="577"/>
      <c r="AD171" s="577"/>
      <c r="AE171" s="577"/>
      <c r="AF171" s="577"/>
      <c r="AG171" s="577"/>
      <c r="AH171" s="577"/>
      <c r="AI171" s="577"/>
      <c r="AJ171" s="577"/>
      <c r="AK171" s="577"/>
      <c r="AL171" s="577"/>
      <c r="AM171" s="577"/>
      <c r="AN171" s="577"/>
      <c r="AO171" s="577"/>
      <c r="AP171" s="577">
        <f>IF(Table_NFI[[#This Row],[Winter Clothes Adult]]+Table_NFI[[#This Row],[Winter Clothes Children]]+Table_NFI[[#This Row],[Winter Items Other]]+Table_NFI[[#This Row],[Winter Blanket]]&gt;0,1,0)</f>
        <v>1</v>
      </c>
      <c r="AQ171" s="577"/>
      <c r="AR171" s="577"/>
      <c r="AS171" s="577"/>
      <c r="AT171" s="220" t="str">
        <f>IFERROR(VLOOKUP(Table_NFI[[#This Row],[Location]],CL,2,0),"")</f>
        <v/>
      </c>
      <c r="AU171" s="197"/>
    </row>
    <row r="172" spans="2:47" ht="18.75" hidden="1" customHeight="1" x14ac:dyDescent="0.3">
      <c r="B172" s="587">
        <v>43105</v>
      </c>
      <c r="C172" s="587" t="str">
        <f>MONTH(Table_NFI[[#This Row],[Distribution Date]]) &amp; "/" &amp; YEAR(Table_NFI[[#This Row],[Distribution Date]])</f>
        <v>1/2018</v>
      </c>
      <c r="D172" s="591" t="s">
        <v>1588</v>
      </c>
      <c r="E172" s="591" t="s">
        <v>1611</v>
      </c>
      <c r="F172" s="213" t="s">
        <v>506</v>
      </c>
      <c r="G172" s="213" t="s">
        <v>494</v>
      </c>
      <c r="H172" s="567" t="s">
        <v>1617</v>
      </c>
      <c r="I172" s="197"/>
      <c r="J172" s="576"/>
      <c r="K172" s="576"/>
      <c r="L172" s="576"/>
      <c r="M172" s="576"/>
      <c r="N172" s="576"/>
      <c r="O172" s="576"/>
      <c r="P172" s="576"/>
      <c r="Q172" s="576"/>
      <c r="R172" s="576"/>
      <c r="S172" s="576"/>
      <c r="T172" s="576"/>
      <c r="U172" s="592">
        <v>62</v>
      </c>
      <c r="V172" s="576"/>
      <c r="W172" s="592">
        <v>62</v>
      </c>
      <c r="X172" s="592">
        <v>62</v>
      </c>
      <c r="Y172" s="576"/>
      <c r="Z172" s="576"/>
      <c r="AA172" s="576"/>
      <c r="AB172" s="576"/>
      <c r="AC172" s="577"/>
      <c r="AD172" s="577"/>
      <c r="AE172" s="577"/>
      <c r="AF172" s="577"/>
      <c r="AG172" s="577"/>
      <c r="AH172" s="577"/>
      <c r="AI172" s="577"/>
      <c r="AJ172" s="577"/>
      <c r="AK172" s="577"/>
      <c r="AL172" s="577"/>
      <c r="AM172" s="577"/>
      <c r="AN172" s="577"/>
      <c r="AO172" s="577"/>
      <c r="AP172" s="577">
        <f>IF(Table_NFI[[#This Row],[Winter Clothes Adult]]+Table_NFI[[#This Row],[Winter Clothes Children]]+Table_NFI[[#This Row],[Winter Items Other]]+Table_NFI[[#This Row],[Winter Blanket]]&gt;0,1,0)</f>
        <v>1</v>
      </c>
      <c r="AQ172" s="577"/>
      <c r="AR172" s="577"/>
      <c r="AS172" s="577"/>
      <c r="AT172" s="220" t="str">
        <f>IFERROR(VLOOKUP(Table_NFI[[#This Row],[Location]],CL,2,0),"")</f>
        <v/>
      </c>
      <c r="AU172" s="197"/>
    </row>
    <row r="173" spans="2:47" ht="18.75" hidden="1" customHeight="1" x14ac:dyDescent="0.3">
      <c r="B173" s="575">
        <v>43106</v>
      </c>
      <c r="C173" s="575" t="str">
        <f>MONTH(Table_NFI[[#This Row],[Distribution Date]]) &amp; "/" &amp; YEAR(Table_NFI[[#This Row],[Distribution Date]])</f>
        <v>1/2018</v>
      </c>
      <c r="D173" s="213" t="s">
        <v>1588</v>
      </c>
      <c r="E173" s="213" t="s">
        <v>1588</v>
      </c>
      <c r="F173" s="213" t="s">
        <v>506</v>
      </c>
      <c r="G173" s="213" t="s">
        <v>494</v>
      </c>
      <c r="H173" s="213" t="s">
        <v>1591</v>
      </c>
      <c r="I173" s="197"/>
      <c r="J173" s="576"/>
      <c r="K173" s="576"/>
      <c r="L173" s="576"/>
      <c r="M173" s="576"/>
      <c r="N173" s="576"/>
      <c r="O173" s="576"/>
      <c r="P173" s="576"/>
      <c r="Q173" s="576"/>
      <c r="R173" s="576"/>
      <c r="S173" s="576"/>
      <c r="T173" s="576"/>
      <c r="U173" s="576"/>
      <c r="V173" s="576"/>
      <c r="W173" s="576">
        <v>51</v>
      </c>
      <c r="X173" s="576"/>
      <c r="Y173" s="576"/>
      <c r="Z173" s="576"/>
      <c r="AA173" s="576">
        <v>10</v>
      </c>
      <c r="AB173" s="576"/>
      <c r="AC173" s="577"/>
      <c r="AD173" s="577"/>
      <c r="AE173" s="577"/>
      <c r="AF173" s="577"/>
      <c r="AG173" s="577"/>
      <c r="AH173" s="577"/>
      <c r="AI173" s="577"/>
      <c r="AJ173" s="577"/>
      <c r="AK173" s="577"/>
      <c r="AL173" s="577"/>
      <c r="AM173" s="577"/>
      <c r="AN173" s="577"/>
      <c r="AO173" s="577"/>
      <c r="AP173" s="577">
        <f>IF(Table_NFI[[#This Row],[Winter Clothes Adult]]+Table_NFI[[#This Row],[Winter Clothes Children]]+Table_NFI[[#This Row],[Winter Items Other]]+Table_NFI[[#This Row],[Winter Blanket]]&gt;0,1,0)</f>
        <v>1</v>
      </c>
      <c r="AQ173" s="577"/>
      <c r="AR173" s="577"/>
      <c r="AS173" s="577"/>
      <c r="AT173" s="220" t="str">
        <f>IFERROR(VLOOKUP(Table_NFI[[#This Row],[Location]],CL,2,0),"")</f>
        <v/>
      </c>
      <c r="AU173" s="197"/>
    </row>
    <row r="174" spans="2:47" ht="18.75" hidden="1" customHeight="1" x14ac:dyDescent="0.3">
      <c r="B174" s="575">
        <v>43107</v>
      </c>
      <c r="C174" s="575" t="str">
        <f>MONTH(Table_NFI[[#This Row],[Distribution Date]]) &amp; "/" &amp; YEAR(Table_NFI[[#This Row],[Distribution Date]])</f>
        <v>1/2018</v>
      </c>
      <c r="D174" s="213" t="s">
        <v>1588</v>
      </c>
      <c r="E174" s="213" t="s">
        <v>1588</v>
      </c>
      <c r="F174" s="213" t="s">
        <v>506</v>
      </c>
      <c r="G174" s="213" t="s">
        <v>494</v>
      </c>
      <c r="H174" s="213" t="s">
        <v>1593</v>
      </c>
      <c r="I174" s="197"/>
      <c r="J174" s="576"/>
      <c r="K174" s="576"/>
      <c r="L174" s="576"/>
      <c r="M174" s="576"/>
      <c r="N174" s="576"/>
      <c r="O174" s="576"/>
      <c r="P174" s="576"/>
      <c r="Q174" s="576"/>
      <c r="R174" s="576"/>
      <c r="S174" s="576"/>
      <c r="T174" s="576"/>
      <c r="U174" s="576"/>
      <c r="V174" s="576"/>
      <c r="W174" s="576">
        <v>76</v>
      </c>
      <c r="X174" s="576"/>
      <c r="Y174" s="576"/>
      <c r="Z174" s="576"/>
      <c r="AA174" s="576"/>
      <c r="AB174" s="576"/>
      <c r="AC174" s="577"/>
      <c r="AD174" s="577"/>
      <c r="AE174" s="577"/>
      <c r="AF174" s="577"/>
      <c r="AG174" s="577"/>
      <c r="AH174" s="577"/>
      <c r="AI174" s="577"/>
      <c r="AJ174" s="577"/>
      <c r="AK174" s="577"/>
      <c r="AL174" s="577"/>
      <c r="AM174" s="577"/>
      <c r="AN174" s="577"/>
      <c r="AO174" s="577"/>
      <c r="AP174" s="577">
        <f>IF(Table_NFI[[#This Row],[Winter Clothes Adult]]+Table_NFI[[#This Row],[Winter Clothes Children]]+Table_NFI[[#This Row],[Winter Items Other]]+Table_NFI[[#This Row],[Winter Blanket]]&gt;0,1,0)</f>
        <v>1</v>
      </c>
      <c r="AQ174" s="577"/>
      <c r="AR174" s="577"/>
      <c r="AS174" s="577"/>
      <c r="AT174" s="220" t="str">
        <f>IFERROR(VLOOKUP(Table_NFI[[#This Row],[Location]],CL,2,0),"")</f>
        <v/>
      </c>
      <c r="AU174" s="197"/>
    </row>
    <row r="175" spans="2:47" ht="18.75" hidden="1" customHeight="1" x14ac:dyDescent="0.3">
      <c r="B175" s="575">
        <v>43108</v>
      </c>
      <c r="C175" s="575" t="str">
        <f>MONTH(Table_NFI[[#This Row],[Distribution Date]]) &amp; "/" &amp; YEAR(Table_NFI[[#This Row],[Distribution Date]])</f>
        <v>1/2018</v>
      </c>
      <c r="D175" s="213" t="s">
        <v>1588</v>
      </c>
      <c r="E175" s="213" t="s">
        <v>1588</v>
      </c>
      <c r="F175" s="213" t="s">
        <v>506</v>
      </c>
      <c r="G175" s="213" t="s">
        <v>494</v>
      </c>
      <c r="H175" s="213" t="s">
        <v>1592</v>
      </c>
      <c r="I175" s="197"/>
      <c r="J175" s="576"/>
      <c r="K175" s="576"/>
      <c r="L175" s="576"/>
      <c r="M175" s="576"/>
      <c r="N175" s="576"/>
      <c r="O175" s="576"/>
      <c r="P175" s="576"/>
      <c r="Q175" s="576"/>
      <c r="R175" s="576"/>
      <c r="S175" s="576"/>
      <c r="T175" s="576"/>
      <c r="U175" s="576"/>
      <c r="V175" s="576"/>
      <c r="W175" s="576">
        <v>31</v>
      </c>
      <c r="X175" s="576"/>
      <c r="Y175" s="576"/>
      <c r="Z175" s="576"/>
      <c r="AA175" s="576"/>
      <c r="AB175" s="576"/>
      <c r="AC175" s="577"/>
      <c r="AD175" s="577"/>
      <c r="AE175" s="577"/>
      <c r="AF175" s="577"/>
      <c r="AG175" s="577"/>
      <c r="AH175" s="577"/>
      <c r="AI175" s="577"/>
      <c r="AJ175" s="577"/>
      <c r="AK175" s="577"/>
      <c r="AL175" s="577"/>
      <c r="AM175" s="577"/>
      <c r="AN175" s="577"/>
      <c r="AO175" s="577"/>
      <c r="AP175" s="577">
        <f>IF(Table_NFI[[#This Row],[Winter Clothes Adult]]+Table_NFI[[#This Row],[Winter Clothes Children]]+Table_NFI[[#This Row],[Winter Items Other]]+Table_NFI[[#This Row],[Winter Blanket]]&gt;0,1,0)</f>
        <v>1</v>
      </c>
      <c r="AQ175" s="577"/>
      <c r="AR175" s="577"/>
      <c r="AS175" s="577"/>
      <c r="AT175" s="220" t="str">
        <f>IFERROR(VLOOKUP(Table_NFI[[#This Row],[Location]],CL,2,0),"")</f>
        <v/>
      </c>
      <c r="AU175" s="197"/>
    </row>
    <row r="176" spans="2:47" ht="18.75" hidden="1" customHeight="1" x14ac:dyDescent="0.3">
      <c r="B176" s="587">
        <v>43126</v>
      </c>
      <c r="C176" s="587" t="str">
        <f>MONTH(Table_NFI[[#This Row],[Distribution Date]]) &amp; "/" &amp; YEAR(Table_NFI[[#This Row],[Distribution Date]])</f>
        <v>1/2018</v>
      </c>
      <c r="D176" s="591" t="s">
        <v>1588</v>
      </c>
      <c r="E176" s="591" t="s">
        <v>1611</v>
      </c>
      <c r="F176" s="213" t="s">
        <v>506</v>
      </c>
      <c r="G176" s="213" t="s">
        <v>297</v>
      </c>
      <c r="H176" s="593" t="s">
        <v>1613</v>
      </c>
      <c r="I176" s="197"/>
      <c r="J176" s="576">
        <v>18</v>
      </c>
      <c r="K176" s="576"/>
      <c r="L176" s="576"/>
      <c r="M176" s="576"/>
      <c r="N176" s="576"/>
      <c r="O176" s="576"/>
      <c r="P176" s="576"/>
      <c r="Q176" s="576"/>
      <c r="R176" s="576"/>
      <c r="S176" s="576"/>
      <c r="T176" s="576"/>
      <c r="U176" s="576"/>
      <c r="V176" s="576"/>
      <c r="W176" s="576"/>
      <c r="X176" s="576"/>
      <c r="Y176" s="576"/>
      <c r="Z176" s="576"/>
      <c r="AA176" s="576"/>
      <c r="AB176" s="576"/>
      <c r="AC176" s="577"/>
      <c r="AD176" s="577"/>
      <c r="AE176" s="577"/>
      <c r="AF176" s="577"/>
      <c r="AG176" s="577"/>
      <c r="AH176" s="577"/>
      <c r="AI176" s="577"/>
      <c r="AJ176" s="577"/>
      <c r="AK176" s="577"/>
      <c r="AL176" s="577"/>
      <c r="AM176" s="577"/>
      <c r="AN176" s="577"/>
      <c r="AO176" s="577"/>
      <c r="AP176" s="577">
        <f>IF(Table_NFI[[#This Row],[Winter Clothes Adult]]+Table_NFI[[#This Row],[Winter Clothes Children]]+Table_NFI[[#This Row],[Winter Items Other]]+Table_NFI[[#This Row],[Winter Blanket]]&gt;0,1,0)</f>
        <v>0</v>
      </c>
      <c r="AQ176" s="577"/>
      <c r="AR176" s="577"/>
      <c r="AS176" s="577"/>
      <c r="AT176" s="220" t="str">
        <f>IFERROR(VLOOKUP(Table_NFI[[#This Row],[Location]],CL,2,0),"")</f>
        <v/>
      </c>
      <c r="AU176" s="197"/>
    </row>
    <row r="177" spans="2:47" ht="18.75" hidden="1" customHeight="1" x14ac:dyDescent="0.3">
      <c r="B177" s="588">
        <v>43127</v>
      </c>
      <c r="C177" s="588" t="str">
        <f>MONTH(Table_NFI[[#This Row],[Distribution Date]]) &amp; "/" &amp; YEAR(Table_NFI[[#This Row],[Distribution Date]])</f>
        <v>1/2018</v>
      </c>
      <c r="D177" s="213" t="s">
        <v>462</v>
      </c>
      <c r="E177" s="213" t="s">
        <v>420</v>
      </c>
      <c r="F177" s="213" t="s">
        <v>378</v>
      </c>
      <c r="G177" s="213" t="s">
        <v>27</v>
      </c>
      <c r="H177" s="235" t="s">
        <v>28</v>
      </c>
      <c r="I177" s="197"/>
      <c r="J177" s="576"/>
      <c r="K177" s="576"/>
      <c r="L177" s="576"/>
      <c r="M177" s="576"/>
      <c r="N177" s="576"/>
      <c r="O177" s="576"/>
      <c r="P177" s="576"/>
      <c r="Q177" s="576"/>
      <c r="R177" s="576"/>
      <c r="S177" s="576"/>
      <c r="T177" s="576"/>
      <c r="U177" s="576">
        <v>284</v>
      </c>
      <c r="V177" s="576">
        <v>236</v>
      </c>
      <c r="W177" s="576"/>
      <c r="X177" s="576"/>
      <c r="Y177" s="576"/>
      <c r="Z177" s="576"/>
      <c r="AA177" s="576"/>
      <c r="AB177" s="576"/>
      <c r="AC177" s="577"/>
      <c r="AD177" s="577"/>
      <c r="AE177" s="577"/>
      <c r="AF177" s="577"/>
      <c r="AG177" s="577"/>
      <c r="AH177" s="577"/>
      <c r="AI177" s="577"/>
      <c r="AJ177" s="577"/>
      <c r="AK177" s="577"/>
      <c r="AL177" s="577"/>
      <c r="AM177" s="577"/>
      <c r="AN177" s="577"/>
      <c r="AO177" s="577"/>
      <c r="AP177" s="577">
        <f>IF(Table_NFI[[#This Row],[Winter Clothes Adult]]+Table_NFI[[#This Row],[Winter Clothes Children]]+Table_NFI[[#This Row],[Winter Items Other]]+Table_NFI[[#This Row],[Winter Blanket]]&gt;0,1,0)</f>
        <v>1</v>
      </c>
      <c r="AQ177" s="577"/>
      <c r="AR177" s="577"/>
      <c r="AS177" s="577"/>
      <c r="AT177" s="220" t="str">
        <f>IFERROR(VLOOKUP(Table_NFI[[#This Row],[Location]],CL,2,0),"")</f>
        <v>MMR001CMP042</v>
      </c>
      <c r="AU177" s="197"/>
    </row>
    <row r="178" spans="2:47" ht="18.75" hidden="1" customHeight="1" x14ac:dyDescent="0.3">
      <c r="B178" s="588">
        <v>43127</v>
      </c>
      <c r="C178" s="588" t="str">
        <f>MONTH(Table_NFI[[#This Row],[Distribution Date]]) &amp; "/" &amp; YEAR(Table_NFI[[#This Row],[Distribution Date]])</f>
        <v>1/2018</v>
      </c>
      <c r="D178" s="213" t="s">
        <v>462</v>
      </c>
      <c r="E178" s="213" t="s">
        <v>420</v>
      </c>
      <c r="F178" s="213" t="s">
        <v>378</v>
      </c>
      <c r="G178" s="213" t="s">
        <v>27</v>
      </c>
      <c r="H178" s="235" t="s">
        <v>1602</v>
      </c>
      <c r="I178" s="197"/>
      <c r="J178" s="576"/>
      <c r="K178" s="576"/>
      <c r="L178" s="576"/>
      <c r="M178" s="576"/>
      <c r="N178" s="576"/>
      <c r="O178" s="576"/>
      <c r="P178" s="576"/>
      <c r="Q178" s="576"/>
      <c r="R178" s="576"/>
      <c r="S178" s="576"/>
      <c r="T178" s="576"/>
      <c r="U178" s="576">
        <v>295</v>
      </c>
      <c r="V178" s="576">
        <v>345</v>
      </c>
      <c r="W178" s="576"/>
      <c r="X178" s="576"/>
      <c r="Y178" s="576"/>
      <c r="Z178" s="576"/>
      <c r="AA178" s="576"/>
      <c r="AB178" s="576"/>
      <c r="AC178" s="577"/>
      <c r="AD178" s="577"/>
      <c r="AE178" s="577"/>
      <c r="AF178" s="577"/>
      <c r="AG178" s="577"/>
      <c r="AH178" s="577"/>
      <c r="AI178" s="577"/>
      <c r="AJ178" s="577"/>
      <c r="AK178" s="577"/>
      <c r="AL178" s="577"/>
      <c r="AM178" s="577"/>
      <c r="AN178" s="577"/>
      <c r="AO178" s="577"/>
      <c r="AP178" s="577">
        <f>IF(Table_NFI[[#This Row],[Winter Clothes Adult]]+Table_NFI[[#This Row],[Winter Clothes Children]]+Table_NFI[[#This Row],[Winter Items Other]]+Table_NFI[[#This Row],[Winter Blanket]]&gt;0,1,0)</f>
        <v>1</v>
      </c>
      <c r="AQ178" s="577"/>
      <c r="AR178" s="577"/>
      <c r="AS178" s="577"/>
      <c r="AT178" s="220" t="str">
        <f>IFERROR(VLOOKUP(Table_NFI[[#This Row],[Location]],CL,2,0),"")</f>
        <v/>
      </c>
      <c r="AU178" s="197"/>
    </row>
    <row r="179" spans="2:47" ht="18.75" hidden="1" customHeight="1" x14ac:dyDescent="0.3">
      <c r="B179" s="587">
        <v>43140</v>
      </c>
      <c r="C179" s="587" t="str">
        <f>MONTH(Table_NFI[[#This Row],[Distribution Date]]) &amp; "/" &amp; YEAR(Table_NFI[[#This Row],[Distribution Date]])</f>
        <v>2/2018</v>
      </c>
      <c r="D179" s="591" t="s">
        <v>1588</v>
      </c>
      <c r="E179" s="591" t="s">
        <v>1611</v>
      </c>
      <c r="F179" s="213" t="s">
        <v>506</v>
      </c>
      <c r="G179" s="213" t="s">
        <v>719</v>
      </c>
      <c r="H179" s="212" t="s">
        <v>1614</v>
      </c>
      <c r="I179" s="197"/>
      <c r="J179" s="576">
        <v>52</v>
      </c>
      <c r="K179" s="576"/>
      <c r="L179" s="576"/>
      <c r="M179" s="576"/>
      <c r="N179" s="576"/>
      <c r="O179" s="576"/>
      <c r="P179" s="576"/>
      <c r="Q179" s="576"/>
      <c r="R179" s="576"/>
      <c r="S179" s="576"/>
      <c r="T179" s="576"/>
      <c r="U179" s="576"/>
      <c r="V179" s="576"/>
      <c r="W179" s="576"/>
      <c r="X179" s="576"/>
      <c r="Y179" s="576"/>
      <c r="Z179" s="576"/>
      <c r="AA179" s="576"/>
      <c r="AB179" s="576"/>
      <c r="AC179" s="577"/>
      <c r="AD179" s="577"/>
      <c r="AE179" s="577"/>
      <c r="AF179" s="577"/>
      <c r="AG179" s="577"/>
      <c r="AH179" s="577"/>
      <c r="AI179" s="577"/>
      <c r="AJ179" s="577"/>
      <c r="AK179" s="577"/>
      <c r="AL179" s="577"/>
      <c r="AM179" s="577"/>
      <c r="AN179" s="577"/>
      <c r="AO179" s="577"/>
      <c r="AP179" s="577">
        <f>IF(Table_NFI[[#This Row],[Winter Clothes Adult]]+Table_NFI[[#This Row],[Winter Clothes Children]]+Table_NFI[[#This Row],[Winter Items Other]]+Table_NFI[[#This Row],[Winter Blanket]]&gt;0,1,0)</f>
        <v>0</v>
      </c>
      <c r="AQ179" s="577"/>
      <c r="AR179" s="577"/>
      <c r="AS179" s="577"/>
      <c r="AT179" s="220" t="str">
        <f>IFERROR(VLOOKUP(Table_NFI[[#This Row],[Location]],CL,2,0),"")</f>
        <v/>
      </c>
      <c r="AU179" s="197"/>
    </row>
    <row r="180" spans="2:47" ht="18.75" hidden="1" customHeight="1" x14ac:dyDescent="0.3">
      <c r="B180" s="587">
        <v>43140</v>
      </c>
      <c r="C180" s="587" t="str">
        <f>MONTH(Table_NFI[[#This Row],[Distribution Date]]) &amp; "/" &amp; YEAR(Table_NFI[[#This Row],[Distribution Date]])</f>
        <v>2/2018</v>
      </c>
      <c r="D180" s="591" t="s">
        <v>1588</v>
      </c>
      <c r="E180" s="591" t="s">
        <v>1611</v>
      </c>
      <c r="F180" s="213" t="s">
        <v>506</v>
      </c>
      <c r="G180" s="213" t="s">
        <v>719</v>
      </c>
      <c r="H180" s="212" t="s">
        <v>1615</v>
      </c>
      <c r="I180" s="197"/>
      <c r="J180" s="576">
        <v>13</v>
      </c>
      <c r="K180" s="576"/>
      <c r="L180" s="576"/>
      <c r="M180" s="576"/>
      <c r="N180" s="576"/>
      <c r="O180" s="576"/>
      <c r="P180" s="576"/>
      <c r="Q180" s="576"/>
      <c r="R180" s="576"/>
      <c r="S180" s="576"/>
      <c r="T180" s="576"/>
      <c r="U180" s="576"/>
      <c r="V180" s="576"/>
      <c r="W180" s="576"/>
      <c r="X180" s="576"/>
      <c r="Y180" s="576"/>
      <c r="Z180" s="576"/>
      <c r="AA180" s="576"/>
      <c r="AB180" s="576"/>
      <c r="AC180" s="577"/>
      <c r="AD180" s="577"/>
      <c r="AE180" s="577"/>
      <c r="AF180" s="577"/>
      <c r="AG180" s="577"/>
      <c r="AH180" s="577"/>
      <c r="AI180" s="577"/>
      <c r="AJ180" s="577"/>
      <c r="AK180" s="577"/>
      <c r="AL180" s="577"/>
      <c r="AM180" s="577"/>
      <c r="AN180" s="577"/>
      <c r="AO180" s="577"/>
      <c r="AP180" s="577">
        <f>IF(Table_NFI[[#This Row],[Winter Clothes Adult]]+Table_NFI[[#This Row],[Winter Clothes Children]]+Table_NFI[[#This Row],[Winter Items Other]]+Table_NFI[[#This Row],[Winter Blanket]]&gt;0,1,0)</f>
        <v>0</v>
      </c>
      <c r="AQ180" s="577"/>
      <c r="AR180" s="577"/>
      <c r="AS180" s="577"/>
      <c r="AT180" s="220" t="str">
        <f>IFERROR(VLOOKUP(Table_NFI[[#This Row],[Location]],CL,2,0),"")</f>
        <v/>
      </c>
      <c r="AU180" s="197"/>
    </row>
    <row r="181" spans="2:47" hidden="1" x14ac:dyDescent="0.3">
      <c r="B181" s="575">
        <v>43098</v>
      </c>
      <c r="C181" s="575" t="str">
        <f>MONTH(Table_NFI[[#This Row],[Distribution Date]]) &amp; "/" &amp; YEAR(Table_NFI[[#This Row],[Distribution Date]])</f>
        <v>12/2017</v>
      </c>
      <c r="D181" s="213" t="s">
        <v>1089</v>
      </c>
      <c r="E181" s="213" t="s">
        <v>1089</v>
      </c>
      <c r="F181" s="213" t="s">
        <v>378</v>
      </c>
      <c r="G181" s="213" t="s">
        <v>27</v>
      </c>
      <c r="H181" s="213" t="s">
        <v>790</v>
      </c>
      <c r="I181" s="197"/>
      <c r="J181" s="576"/>
      <c r="K181" s="576"/>
      <c r="L181" s="576"/>
      <c r="M181" s="576"/>
      <c r="N181" s="576"/>
      <c r="O181" s="576"/>
      <c r="P181" s="576">
        <v>270</v>
      </c>
      <c r="Q181" s="576"/>
      <c r="R181" s="576"/>
      <c r="S181" s="576"/>
      <c r="T181" s="576"/>
      <c r="U181" s="576">
        <v>95</v>
      </c>
      <c r="V181" s="576"/>
      <c r="W181" s="576"/>
      <c r="X181" s="576">
        <v>123</v>
      </c>
      <c r="Y181" s="576"/>
      <c r="Z181" s="576"/>
      <c r="AA181" s="576"/>
      <c r="AB181" s="576"/>
      <c r="AC181" s="577" t="e">
        <f>IF(NFI_Expiration=1,IF(#REF!&lt;VLOOKUP(L$5,NFI,5,0),1,0)*Table_NFI[[#This Row],[NFI Core Kit]],Table_NFI[NFI Core Kit])</f>
        <v>#REF!</v>
      </c>
      <c r="AD181" s="577" t="e">
        <f>IF(NFI_Expiration=1,IF(#REF!&lt;VLOOKUP(M$5,NFI,5,0),1,0)*Table_NFI[[#This Row],[Sanitary Kit]],Table_NFI[Sanitary Kit])</f>
        <v>#REF!</v>
      </c>
      <c r="AE181" s="577" t="e">
        <f>IF(NFI_Expiration=1,IF(#REF!&lt;VLOOKUP(N$5,NFI,5,0),1,0)*Table_NFI[[#This Row],[Mosquito net]],Table_NFI[Mosquito net])</f>
        <v>#REF!</v>
      </c>
      <c r="AF181" s="577" t="e">
        <f>IF(NFI_Expiration=1,IF(#REF!&lt;VLOOKUP(O$5,NFI,5,0),1,0)*Table_NFI[[#This Row],[Tarpaulin]],Table_NFI[[#This Row],[Tarpaulin]])</f>
        <v>#REF!</v>
      </c>
      <c r="AG181" s="577" t="e">
        <f>IF(NFI_Expiration=1,IF(#REF!&lt;VLOOKUP(P$5,NFI,5,0),1,0)*Table_NFI[[#This Row],[Blanket]],Table_NFI[[#This Row],[Blanket]])</f>
        <v>#REF!</v>
      </c>
      <c r="AH181" s="577" t="e">
        <f>IF(NFI_Expiration=1,IF(#REF!&lt;VLOOKUP(Q$5,NFI,5,0),1,0)*Table_NFI[[#This Row],[Kitchen Set]],Table_NFI[Kitchen Set])</f>
        <v>#REF!</v>
      </c>
      <c r="AI181" s="577" t="e">
        <f>IF(NFI_Expiration=1,IF(#REF!&lt;VLOOKUP(R$5,NFI,5,0),1,0)*Table_NFI[[#This Row],[Clothes Kit]],Table_NFI[Clothes Kit])</f>
        <v>#REF!</v>
      </c>
      <c r="AJ181" s="577" t="e">
        <f>IF(NFI_Expiration=1,IF(#REF!&lt;VLOOKUP(S$5,NFI,5,0),1,0)*Table_NFI[[#This Row],[Plastic Bucket]],Table_NFI[Plastic Bucket])</f>
        <v>#REF!</v>
      </c>
      <c r="AK181" s="577" t="e">
        <f>IF(NFI_Expiration=1,IF(#REF!&lt;VLOOKUP(T$5,NFI,5,0),1,0)*Table_NFI[[#This Row],[Plastic Mat]],Table_NFI[Plastic Mat])*IF(Table_NFI[[#This Row],[Distribution Date]]&gt;"2014-04-01",1,2.5)</f>
        <v>#REF!</v>
      </c>
      <c r="AL181" s="577" t="e">
        <f>IF(NFI_Expiration=1,IF(#REF!&lt;VLOOKUP(U$5,NFI,5,0),1,0)*Table_NFI[[#This Row],[Winter Clothes Adult]],Table_NFI[Winter Clothes Adult])</f>
        <v>#REF!</v>
      </c>
      <c r="AM181" s="577"/>
      <c r="AN181" s="577"/>
      <c r="AO181" s="577"/>
      <c r="AP181" s="577">
        <f>IF(Table_NFI[[#This Row],[Winter Clothes Adult]]+Table_NFI[[#This Row],[Winter Clothes Children]]+Table_NFI[[#This Row],[Winter Items Other]]+Table_NFI[[#This Row],[Winter Blanket]]&gt;0,1,0)</f>
        <v>1</v>
      </c>
      <c r="AQ181" s="577"/>
      <c r="AR181" s="577"/>
      <c r="AS181" s="577"/>
      <c r="AT181" s="220" t="str">
        <f>IFERROR(VLOOKUP(Table_NFI[[#This Row],[Location]],CL,2,0),"")</f>
        <v>MMR001CMP210</v>
      </c>
      <c r="AU181" s="197"/>
    </row>
    <row r="182" spans="2:47" hidden="1" x14ac:dyDescent="0.3">
      <c r="B182" s="575">
        <v>43098</v>
      </c>
      <c r="C182" s="575" t="str">
        <f>MONTH(Table_NFI[[#This Row],[Distribution Date]]) &amp; "/" &amp; YEAR(Table_NFI[[#This Row],[Distribution Date]])</f>
        <v>12/2017</v>
      </c>
      <c r="D182" s="213" t="s">
        <v>1089</v>
      </c>
      <c r="E182" s="213" t="s">
        <v>1089</v>
      </c>
      <c r="F182" s="213" t="s">
        <v>378</v>
      </c>
      <c r="G182" s="213" t="s">
        <v>27</v>
      </c>
      <c r="H182" s="213" t="s">
        <v>875</v>
      </c>
      <c r="I182" s="197"/>
      <c r="J182" s="576"/>
      <c r="K182" s="576"/>
      <c r="L182" s="576"/>
      <c r="M182" s="576"/>
      <c r="N182" s="576"/>
      <c r="O182" s="576"/>
      <c r="P182" s="576">
        <v>171</v>
      </c>
      <c r="Q182" s="576"/>
      <c r="R182" s="576"/>
      <c r="S182" s="576"/>
      <c r="T182" s="576"/>
      <c r="U182" s="576">
        <v>86</v>
      </c>
      <c r="V182" s="576"/>
      <c r="W182" s="576"/>
      <c r="X182" s="576">
        <v>60</v>
      </c>
      <c r="Y182" s="576"/>
      <c r="Z182" s="576"/>
      <c r="AA182" s="576"/>
      <c r="AB182" s="576"/>
      <c r="AC182" s="577" t="e">
        <f>IF(NFI_Expiration=1,IF(#REF!&lt;VLOOKUP(L$5,NFI,5,0),1,0)*Table_NFI[[#This Row],[NFI Core Kit]],Table_NFI[NFI Core Kit])</f>
        <v>#REF!</v>
      </c>
      <c r="AD182" s="577" t="e">
        <f>IF(NFI_Expiration=1,IF(#REF!&lt;VLOOKUP(M$5,NFI,5,0),1,0)*Table_NFI[[#This Row],[Sanitary Kit]],Table_NFI[Sanitary Kit])</f>
        <v>#REF!</v>
      </c>
      <c r="AE182" s="577" t="e">
        <f>IF(NFI_Expiration=1,IF(#REF!&lt;VLOOKUP(N$5,NFI,5,0),1,0)*Table_NFI[[#This Row],[Mosquito net]],Table_NFI[Mosquito net])</f>
        <v>#REF!</v>
      </c>
      <c r="AF182" s="577" t="e">
        <f>IF(NFI_Expiration=1,IF(#REF!&lt;VLOOKUP(O$5,NFI,5,0),1,0)*Table_NFI[[#This Row],[Tarpaulin]],Table_NFI[[#This Row],[Tarpaulin]])</f>
        <v>#REF!</v>
      </c>
      <c r="AG182" s="577" t="e">
        <f>IF(NFI_Expiration=1,IF(#REF!&lt;VLOOKUP(P$5,NFI,5,0),1,0)*Table_NFI[[#This Row],[Blanket]],Table_NFI[[#This Row],[Blanket]])</f>
        <v>#REF!</v>
      </c>
      <c r="AH182" s="577" t="e">
        <f>IF(NFI_Expiration=1,IF(#REF!&lt;VLOOKUP(Q$5,NFI,5,0),1,0)*Table_NFI[[#This Row],[Kitchen Set]],Table_NFI[Kitchen Set])</f>
        <v>#REF!</v>
      </c>
      <c r="AI182" s="577" t="e">
        <f>IF(NFI_Expiration=1,IF(#REF!&lt;VLOOKUP(R$5,NFI,5,0),1,0)*Table_NFI[[#This Row],[Clothes Kit]],Table_NFI[Clothes Kit])</f>
        <v>#REF!</v>
      </c>
      <c r="AJ182" s="577" t="e">
        <f>IF(NFI_Expiration=1,IF(#REF!&lt;VLOOKUP(S$5,NFI,5,0),1,0)*Table_NFI[[#This Row],[Plastic Bucket]],Table_NFI[Plastic Bucket])</f>
        <v>#REF!</v>
      </c>
      <c r="AK182" s="577" t="e">
        <f>IF(NFI_Expiration=1,IF(#REF!&lt;VLOOKUP(T$5,NFI,5,0),1,0)*Table_NFI[[#This Row],[Plastic Mat]],Table_NFI[Plastic Mat])*IF(Table_NFI[[#This Row],[Distribution Date]]&gt;"2014-04-01",1,2.5)</f>
        <v>#REF!</v>
      </c>
      <c r="AL182" s="577" t="e">
        <f>IF(NFI_Expiration=1,IF(#REF!&lt;VLOOKUP(U$5,NFI,5,0),1,0)*Table_NFI[[#This Row],[Winter Clothes Adult]],Table_NFI[Winter Clothes Adult])</f>
        <v>#REF!</v>
      </c>
      <c r="AM182" s="577"/>
      <c r="AN182" s="577"/>
      <c r="AO182" s="577"/>
      <c r="AP182" s="577">
        <f>IF(Table_NFI[[#This Row],[Winter Clothes Adult]]+Table_NFI[[#This Row],[Winter Clothes Children]]+Table_NFI[[#This Row],[Winter Items Other]]+Table_NFI[[#This Row],[Winter Blanket]]&gt;0,1,0)</f>
        <v>1</v>
      </c>
      <c r="AQ182" s="577"/>
      <c r="AR182" s="577"/>
      <c r="AS182" s="577"/>
      <c r="AT182" s="220" t="str">
        <f>IFERROR(VLOOKUP(Table_NFI[[#This Row],[Location]],CL,2,0),"")</f>
        <v>MMR001CMP225</v>
      </c>
      <c r="AU182" s="197"/>
    </row>
    <row r="183" spans="2:47" hidden="1" x14ac:dyDescent="0.3">
      <c r="B183" s="575">
        <v>43171</v>
      </c>
      <c r="C183" s="575" t="str">
        <f>MONTH(Table_NFI[[#This Row],[Distribution Date]]) &amp; "/" &amp; YEAR(Table_NFI[[#This Row],[Distribution Date]])</f>
        <v>3/2018</v>
      </c>
      <c r="D183" s="213" t="s">
        <v>1089</v>
      </c>
      <c r="E183" s="213" t="s">
        <v>1089</v>
      </c>
      <c r="F183" s="213" t="s">
        <v>378</v>
      </c>
      <c r="G183" s="213" t="s">
        <v>237</v>
      </c>
      <c r="H183" s="213" t="s">
        <v>272</v>
      </c>
      <c r="I183" s="197"/>
      <c r="J183" s="576"/>
      <c r="K183" s="576"/>
      <c r="L183" s="576">
        <v>9</v>
      </c>
      <c r="M183" s="576">
        <v>9</v>
      </c>
      <c r="N183" s="576">
        <v>18</v>
      </c>
      <c r="O183" s="576">
        <v>9</v>
      </c>
      <c r="P183" s="576">
        <v>28</v>
      </c>
      <c r="Q183" s="576">
        <v>9</v>
      </c>
      <c r="R183" s="576"/>
      <c r="S183" s="576">
        <v>9</v>
      </c>
      <c r="T183" s="576">
        <v>26</v>
      </c>
      <c r="U183" s="576"/>
      <c r="V183" s="576"/>
      <c r="W183" s="576"/>
      <c r="X183" s="576"/>
      <c r="Y183" s="576">
        <v>9</v>
      </c>
      <c r="Z183" s="576"/>
      <c r="AA183" s="576"/>
      <c r="AB183" s="576"/>
      <c r="AC183" s="577" t="e">
        <f>IF(NFI_Expiration=1,IF(#REF!&lt;VLOOKUP(L$5,NFI,5,0),1,0)*Table_NFI[[#This Row],[NFI Core Kit]],Table_NFI[NFI Core Kit])</f>
        <v>#REF!</v>
      </c>
      <c r="AD183" s="577" t="e">
        <f>IF(NFI_Expiration=1,IF(#REF!&lt;VLOOKUP(M$5,NFI,5,0),1,0)*Table_NFI[[#This Row],[Sanitary Kit]],Table_NFI[Sanitary Kit])</f>
        <v>#REF!</v>
      </c>
      <c r="AE183" s="577" t="e">
        <f>IF(NFI_Expiration=1,IF(#REF!&lt;VLOOKUP(N$5,NFI,5,0),1,0)*Table_NFI[[#This Row],[Mosquito net]],Table_NFI[Mosquito net])</f>
        <v>#REF!</v>
      </c>
      <c r="AF183" s="577" t="e">
        <f>IF(NFI_Expiration=1,IF(#REF!&lt;VLOOKUP(O$5,NFI,5,0),1,0)*Table_NFI[[#This Row],[Tarpaulin]],Table_NFI[[#This Row],[Tarpaulin]])</f>
        <v>#REF!</v>
      </c>
      <c r="AG183" s="577" t="e">
        <f>IF(NFI_Expiration=1,IF(#REF!&lt;VLOOKUP(P$5,NFI,5,0),1,0)*Table_NFI[[#This Row],[Blanket]],Table_NFI[[#This Row],[Blanket]])</f>
        <v>#REF!</v>
      </c>
      <c r="AH183" s="577" t="e">
        <f>IF(NFI_Expiration=1,IF(#REF!&lt;VLOOKUP(Q$5,NFI,5,0),1,0)*Table_NFI[[#This Row],[Kitchen Set]],Table_NFI[Kitchen Set])</f>
        <v>#REF!</v>
      </c>
      <c r="AI183" s="577" t="e">
        <f>IF(NFI_Expiration=1,IF(#REF!&lt;VLOOKUP(R$5,NFI,5,0),1,0)*Table_NFI[[#This Row],[Clothes Kit]],Table_NFI[Clothes Kit])</f>
        <v>#REF!</v>
      </c>
      <c r="AJ183" s="577" t="e">
        <f>IF(NFI_Expiration=1,IF(#REF!&lt;VLOOKUP(S$5,NFI,5,0),1,0)*Table_NFI[[#This Row],[Plastic Bucket]],Table_NFI[Plastic Bucket])</f>
        <v>#REF!</v>
      </c>
      <c r="AK183" s="577" t="e">
        <f>IF(NFI_Expiration=1,IF(#REF!&lt;VLOOKUP(T$5,NFI,5,0),1,0)*Table_NFI[[#This Row],[Plastic Mat]],Table_NFI[Plastic Mat])*IF(Table_NFI[[#This Row],[Distribution Date]]&gt;"2014-04-01",1,2.5)</f>
        <v>#REF!</v>
      </c>
      <c r="AL183" s="577" t="e">
        <f>IF(NFI_Expiration=1,IF(#REF!&lt;VLOOKUP(U$5,NFI,5,0),1,0)*Table_NFI[[#This Row],[Winter Clothes Adult]],Table_NFI[Winter Clothes Adult])</f>
        <v>#REF!</v>
      </c>
      <c r="AM183" s="577"/>
      <c r="AN183" s="577"/>
      <c r="AO183" s="577"/>
      <c r="AP183" s="577">
        <f>IF(Table_NFI[[#This Row],[Winter Clothes Adult]]+Table_NFI[[#This Row],[Winter Clothes Children]]+Table_NFI[[#This Row],[Winter Items Other]]+Table_NFI[[#This Row],[Winter Blanket]]&gt;0,1,0)</f>
        <v>0</v>
      </c>
      <c r="AQ183" s="577"/>
      <c r="AR183" s="577"/>
      <c r="AS183" s="577"/>
      <c r="AT183" s="220" t="str">
        <f>IFERROR(VLOOKUP(Table_NFI[[#This Row],[Location]],CL,2,0),"")</f>
        <v>MMR001CMP162</v>
      </c>
      <c r="AU183" s="197"/>
    </row>
    <row r="184" spans="2:47" hidden="1" x14ac:dyDescent="0.3">
      <c r="B184" s="575">
        <v>43165</v>
      </c>
      <c r="C184" s="575" t="str">
        <f>MONTH(Table_NFI[[#This Row],[Distribution Date]]) &amp; "/" &amp; YEAR(Table_NFI[[#This Row],[Distribution Date]])</f>
        <v>3/2018</v>
      </c>
      <c r="D184" s="213" t="s">
        <v>1089</v>
      </c>
      <c r="E184" s="213" t="s">
        <v>1089</v>
      </c>
      <c r="F184" s="213" t="s">
        <v>378</v>
      </c>
      <c r="G184" s="213" t="s">
        <v>309</v>
      </c>
      <c r="H184" s="213" t="s">
        <v>329</v>
      </c>
      <c r="I184" s="197"/>
      <c r="J184" s="576"/>
      <c r="K184" s="576"/>
      <c r="L184" s="576"/>
      <c r="M184" s="576"/>
      <c r="N184" s="576"/>
      <c r="O184" s="576"/>
      <c r="P184" s="576"/>
      <c r="Q184" s="576"/>
      <c r="R184" s="576"/>
      <c r="S184" s="576"/>
      <c r="T184" s="576"/>
      <c r="U184" s="576"/>
      <c r="V184" s="576"/>
      <c r="W184" s="576">
        <v>1473</v>
      </c>
      <c r="X184" s="576"/>
      <c r="Y184" s="576"/>
      <c r="Z184" s="576"/>
      <c r="AA184" s="576"/>
      <c r="AB184" s="576"/>
      <c r="AC184" s="577" t="e">
        <f>IF(NFI_Expiration=1,IF(#REF!&lt;VLOOKUP(L$5,NFI,5,0),1,0)*Table_NFI[[#This Row],[NFI Core Kit]],Table_NFI[NFI Core Kit])</f>
        <v>#REF!</v>
      </c>
      <c r="AD184" s="577" t="e">
        <f>IF(NFI_Expiration=1,IF(#REF!&lt;VLOOKUP(M$5,NFI,5,0),1,0)*Table_NFI[[#This Row],[Sanitary Kit]],Table_NFI[Sanitary Kit])</f>
        <v>#REF!</v>
      </c>
      <c r="AE184" s="577" t="e">
        <f>IF(NFI_Expiration=1,IF(#REF!&lt;VLOOKUP(N$5,NFI,5,0),1,0)*Table_NFI[[#This Row],[Mosquito net]],Table_NFI[Mosquito net])</f>
        <v>#REF!</v>
      </c>
      <c r="AF184" s="577" t="e">
        <f>IF(NFI_Expiration=1,IF(#REF!&lt;VLOOKUP(O$5,NFI,5,0),1,0)*Table_NFI[[#This Row],[Tarpaulin]],Table_NFI[[#This Row],[Tarpaulin]])</f>
        <v>#REF!</v>
      </c>
      <c r="AG184" s="577" t="e">
        <f>IF(NFI_Expiration=1,IF(#REF!&lt;VLOOKUP(P$5,NFI,5,0),1,0)*Table_NFI[[#This Row],[Blanket]],Table_NFI[[#This Row],[Blanket]])</f>
        <v>#REF!</v>
      </c>
      <c r="AH184" s="577" t="e">
        <f>IF(NFI_Expiration=1,IF(#REF!&lt;VLOOKUP(Q$5,NFI,5,0),1,0)*Table_NFI[[#This Row],[Kitchen Set]],Table_NFI[Kitchen Set])</f>
        <v>#REF!</v>
      </c>
      <c r="AI184" s="577" t="e">
        <f>IF(NFI_Expiration=1,IF(#REF!&lt;VLOOKUP(R$5,NFI,5,0),1,0)*Table_NFI[[#This Row],[Clothes Kit]],Table_NFI[Clothes Kit])</f>
        <v>#REF!</v>
      </c>
      <c r="AJ184" s="577" t="e">
        <f>IF(NFI_Expiration=1,IF(#REF!&lt;VLOOKUP(S$5,NFI,5,0),1,0)*Table_NFI[[#This Row],[Plastic Bucket]],Table_NFI[Plastic Bucket])</f>
        <v>#REF!</v>
      </c>
      <c r="AK184" s="577" t="e">
        <f>IF(NFI_Expiration=1,IF(#REF!&lt;VLOOKUP(T$5,NFI,5,0),1,0)*Table_NFI[[#This Row],[Plastic Mat]],Table_NFI[Plastic Mat])*IF(Table_NFI[[#This Row],[Distribution Date]]&gt;"2014-04-01",1,2.5)</f>
        <v>#REF!</v>
      </c>
      <c r="AL184" s="577" t="e">
        <f>IF(NFI_Expiration=1,IF(#REF!&lt;VLOOKUP(U$5,NFI,5,0),1,0)*Table_NFI[[#This Row],[Winter Clothes Adult]],Table_NFI[Winter Clothes Adult])</f>
        <v>#REF!</v>
      </c>
      <c r="AM184" s="577"/>
      <c r="AN184" s="577"/>
      <c r="AO184" s="577"/>
      <c r="AP184" s="577">
        <f>IF(Table_NFI[[#This Row],[Winter Clothes Adult]]+Table_NFI[[#This Row],[Winter Clothes Children]]+Table_NFI[[#This Row],[Winter Items Other]]+Table_NFI[[#This Row],[Winter Blanket]]&gt;0,1,0)</f>
        <v>1</v>
      </c>
      <c r="AQ184" s="577"/>
      <c r="AR184" s="577"/>
      <c r="AS184" s="577"/>
      <c r="AT184" s="220" t="str">
        <f>IFERROR(VLOOKUP(Table_NFI[[#This Row],[Location]],CL,2,0),"")</f>
        <v>MMR001CMP029</v>
      </c>
      <c r="AU184" s="197"/>
    </row>
    <row r="185" spans="2:47" hidden="1" x14ac:dyDescent="0.3">
      <c r="B185" s="575">
        <v>43109</v>
      </c>
      <c r="C185" s="575" t="str">
        <f>MONTH(Table_NFI[[#This Row],[Distribution Date]]) &amp; "/" &amp; YEAR(Table_NFI[[#This Row],[Distribution Date]])</f>
        <v>1/2018</v>
      </c>
      <c r="D185" s="213" t="s">
        <v>1474</v>
      </c>
      <c r="E185" s="213"/>
      <c r="F185" s="213" t="s">
        <v>506</v>
      </c>
      <c r="G185" s="213" t="s">
        <v>297</v>
      </c>
      <c r="H185" s="213" t="s">
        <v>759</v>
      </c>
      <c r="I185" s="197">
        <v>1</v>
      </c>
      <c r="J185" s="576"/>
      <c r="K185" s="576"/>
      <c r="L185" s="576"/>
      <c r="M185" s="576"/>
      <c r="N185" s="576"/>
      <c r="O185" s="576"/>
      <c r="P185" s="576"/>
      <c r="Q185" s="576"/>
      <c r="R185" s="576"/>
      <c r="S185" s="576"/>
      <c r="T185" s="576"/>
      <c r="U185" s="576"/>
      <c r="V185" s="576"/>
      <c r="W185" s="576"/>
      <c r="X185" s="576"/>
      <c r="Y185" s="576"/>
      <c r="Z185" s="576"/>
      <c r="AA185" s="576"/>
      <c r="AB185" s="576"/>
      <c r="AC185" s="577" t="e">
        <f>IF(NFI_Expiration=1,IF(#REF!&lt;VLOOKUP(L$5,NFI,5,0),1,0)*Table_NFI[[#This Row],[NFI Core Kit]],Table_NFI[NFI Core Kit])</f>
        <v>#REF!</v>
      </c>
      <c r="AD185" s="577" t="e">
        <f>IF(NFI_Expiration=1,IF(#REF!&lt;VLOOKUP(M$5,NFI,5,0),1,0)*Table_NFI[[#This Row],[Sanitary Kit]],Table_NFI[Sanitary Kit])</f>
        <v>#REF!</v>
      </c>
      <c r="AE185" s="577" t="e">
        <f>IF(NFI_Expiration=1,IF(#REF!&lt;VLOOKUP(N$5,NFI,5,0),1,0)*Table_NFI[[#This Row],[Mosquito net]],Table_NFI[Mosquito net])</f>
        <v>#REF!</v>
      </c>
      <c r="AF185" s="577" t="e">
        <f>IF(NFI_Expiration=1,IF(#REF!&lt;VLOOKUP(O$5,NFI,5,0),1,0)*Table_NFI[[#This Row],[Tarpaulin]],Table_NFI[[#This Row],[Tarpaulin]])</f>
        <v>#REF!</v>
      </c>
      <c r="AG185" s="577" t="e">
        <f>IF(NFI_Expiration=1,IF(#REF!&lt;VLOOKUP(P$5,NFI,5,0),1,0)*Table_NFI[[#This Row],[Blanket]],Table_NFI[[#This Row],[Blanket]])</f>
        <v>#REF!</v>
      </c>
      <c r="AH185" s="577" t="e">
        <f>IF(NFI_Expiration=1,IF(#REF!&lt;VLOOKUP(Q$5,NFI,5,0),1,0)*Table_NFI[[#This Row],[Kitchen Set]],Table_NFI[Kitchen Set])</f>
        <v>#REF!</v>
      </c>
      <c r="AI185" s="577" t="e">
        <f>IF(NFI_Expiration=1,IF(#REF!&lt;VLOOKUP(R$5,NFI,5,0),1,0)*Table_NFI[[#This Row],[Clothes Kit]],Table_NFI[Clothes Kit])</f>
        <v>#REF!</v>
      </c>
      <c r="AJ185" s="577" t="e">
        <f>IF(NFI_Expiration=1,IF(#REF!&lt;VLOOKUP(S$5,NFI,5,0),1,0)*Table_NFI[[#This Row],[Plastic Bucket]],Table_NFI[Plastic Bucket])</f>
        <v>#REF!</v>
      </c>
      <c r="AK185" s="577" t="e">
        <f>IF(NFI_Expiration=1,IF(#REF!&lt;VLOOKUP(T$5,NFI,5,0),1,0)*Table_NFI[[#This Row],[Plastic Mat]],Table_NFI[Plastic Mat])*IF(Table_NFI[[#This Row],[Distribution Date]]&gt;"2014-04-01",1,2.5)</f>
        <v>#REF!</v>
      </c>
      <c r="AL185" s="577" t="e">
        <f>IF(NFI_Expiration=1,IF(#REF!&lt;VLOOKUP(U$5,NFI,5,0),1,0)*Table_NFI[[#This Row],[Winter Clothes Adult]],Table_NFI[Winter Clothes Adult])</f>
        <v>#REF!</v>
      </c>
      <c r="AM185" s="577"/>
      <c r="AN185" s="577"/>
      <c r="AO185" s="577"/>
      <c r="AP185" s="577">
        <f>IF(Table_NFI[[#This Row],[Winter Clothes Adult]]+Table_NFI[[#This Row],[Winter Clothes Children]]+Table_NFI[[#This Row],[Winter Items Other]]+Table_NFI[[#This Row],[Winter Blanket]]&gt;0,1,0)</f>
        <v>0</v>
      </c>
      <c r="AQ185" s="577"/>
      <c r="AR185" s="577"/>
      <c r="AS185" s="577"/>
      <c r="AT185" s="220" t="str">
        <f>IFERROR(VLOOKUP(Table_NFI[[#This Row],[Location]],CL,2,0),"")</f>
        <v>MMR015CMP014</v>
      </c>
      <c r="AU185" s="197"/>
    </row>
    <row r="186" spans="2:47" hidden="1" x14ac:dyDescent="0.3">
      <c r="B186" s="575">
        <v>43109</v>
      </c>
      <c r="C186" s="575" t="str">
        <f>MONTH(Table_NFI[[#This Row],[Distribution Date]]) &amp; "/" &amp; YEAR(Table_NFI[[#This Row],[Distribution Date]])</f>
        <v>1/2018</v>
      </c>
      <c r="D186" s="213" t="s">
        <v>1474</v>
      </c>
      <c r="E186" s="213"/>
      <c r="F186" s="213" t="s">
        <v>506</v>
      </c>
      <c r="G186" s="213" t="s">
        <v>297</v>
      </c>
      <c r="H186" s="213" t="s">
        <v>1192</v>
      </c>
      <c r="I186" s="197">
        <v>1</v>
      </c>
      <c r="J186" s="576"/>
      <c r="K186" s="576"/>
      <c r="L186" s="576"/>
      <c r="M186" s="576"/>
      <c r="N186" s="576"/>
      <c r="O186" s="576"/>
      <c r="P186" s="576"/>
      <c r="Q186" s="576"/>
      <c r="R186" s="576"/>
      <c r="S186" s="576"/>
      <c r="T186" s="576"/>
      <c r="U186" s="576"/>
      <c r="V186" s="576"/>
      <c r="W186" s="576"/>
      <c r="X186" s="576"/>
      <c r="Y186" s="576"/>
      <c r="Z186" s="576"/>
      <c r="AA186" s="576"/>
      <c r="AB186" s="576"/>
      <c r="AC186" s="577" t="e">
        <f>IF(NFI_Expiration=1,IF(#REF!&lt;VLOOKUP(L$5,NFI,5,0),1,0)*Table_NFI[[#This Row],[NFI Core Kit]],Table_NFI[NFI Core Kit])</f>
        <v>#REF!</v>
      </c>
      <c r="AD186" s="577" t="e">
        <f>IF(NFI_Expiration=1,IF(#REF!&lt;VLOOKUP(M$5,NFI,5,0),1,0)*Table_NFI[[#This Row],[Sanitary Kit]],Table_NFI[Sanitary Kit])</f>
        <v>#REF!</v>
      </c>
      <c r="AE186" s="577" t="e">
        <f>IF(NFI_Expiration=1,IF(#REF!&lt;VLOOKUP(N$5,NFI,5,0),1,0)*Table_NFI[[#This Row],[Mosquito net]],Table_NFI[Mosquito net])</f>
        <v>#REF!</v>
      </c>
      <c r="AF186" s="577" t="e">
        <f>IF(NFI_Expiration=1,IF(#REF!&lt;VLOOKUP(O$5,NFI,5,0),1,0)*Table_NFI[[#This Row],[Tarpaulin]],Table_NFI[[#This Row],[Tarpaulin]])</f>
        <v>#REF!</v>
      </c>
      <c r="AG186" s="577" t="e">
        <f>IF(NFI_Expiration=1,IF(#REF!&lt;VLOOKUP(P$5,NFI,5,0),1,0)*Table_NFI[[#This Row],[Blanket]],Table_NFI[[#This Row],[Blanket]])</f>
        <v>#REF!</v>
      </c>
      <c r="AH186" s="577" t="e">
        <f>IF(NFI_Expiration=1,IF(#REF!&lt;VLOOKUP(Q$5,NFI,5,0),1,0)*Table_NFI[[#This Row],[Kitchen Set]],Table_NFI[Kitchen Set])</f>
        <v>#REF!</v>
      </c>
      <c r="AI186" s="577" t="e">
        <f>IF(NFI_Expiration=1,IF(#REF!&lt;VLOOKUP(R$5,NFI,5,0),1,0)*Table_NFI[[#This Row],[Clothes Kit]],Table_NFI[Clothes Kit])</f>
        <v>#REF!</v>
      </c>
      <c r="AJ186" s="577" t="e">
        <f>IF(NFI_Expiration=1,IF(#REF!&lt;VLOOKUP(S$5,NFI,5,0),1,0)*Table_NFI[[#This Row],[Plastic Bucket]],Table_NFI[Plastic Bucket])</f>
        <v>#REF!</v>
      </c>
      <c r="AK186" s="577" t="e">
        <f>IF(NFI_Expiration=1,IF(#REF!&lt;VLOOKUP(T$5,NFI,5,0),1,0)*Table_NFI[[#This Row],[Plastic Mat]],Table_NFI[Plastic Mat])*IF(Table_NFI[[#This Row],[Distribution Date]]&gt;"2014-04-01",1,2.5)</f>
        <v>#REF!</v>
      </c>
      <c r="AL186" s="577" t="e">
        <f>IF(NFI_Expiration=1,IF(#REF!&lt;VLOOKUP(U$5,NFI,5,0),1,0)*Table_NFI[[#This Row],[Winter Clothes Adult]],Table_NFI[Winter Clothes Adult])</f>
        <v>#REF!</v>
      </c>
      <c r="AM186" s="577"/>
      <c r="AN186" s="577"/>
      <c r="AO186" s="577"/>
      <c r="AP186" s="577">
        <f>IF(Table_NFI[[#This Row],[Winter Clothes Adult]]+Table_NFI[[#This Row],[Winter Clothes Children]]+Table_NFI[[#This Row],[Winter Items Other]]+Table_NFI[[#This Row],[Winter Blanket]]&gt;0,1,0)</f>
        <v>0</v>
      </c>
      <c r="AQ186" s="577"/>
      <c r="AR186" s="577"/>
      <c r="AS186" s="577"/>
      <c r="AT186" s="220" t="str">
        <f>IFERROR(VLOOKUP(Table_NFI[[#This Row],[Location]],CL,2,0),"")</f>
        <v>MMR015CMP232</v>
      </c>
      <c r="AU186" s="197" t="s">
        <v>541</v>
      </c>
    </row>
    <row r="187" spans="2:47" hidden="1" x14ac:dyDescent="0.3">
      <c r="B187" s="575">
        <v>43109</v>
      </c>
      <c r="C187" s="575" t="str">
        <f>MONTH(Table_NFI[[#This Row],[Distribution Date]]) &amp; "/" &amp; YEAR(Table_NFI[[#This Row],[Distribution Date]])</f>
        <v>1/2018</v>
      </c>
      <c r="D187" s="213" t="s">
        <v>1474</v>
      </c>
      <c r="E187" s="213"/>
      <c r="F187" s="213" t="s">
        <v>378</v>
      </c>
      <c r="G187" s="213" t="s">
        <v>151</v>
      </c>
      <c r="H187" s="213" t="s">
        <v>154</v>
      </c>
      <c r="I187" s="197"/>
      <c r="J187" s="576">
        <v>3</v>
      </c>
      <c r="K187" s="576"/>
      <c r="L187" s="576"/>
      <c r="M187" s="576"/>
      <c r="N187" s="576"/>
      <c r="O187" s="576"/>
      <c r="P187" s="576"/>
      <c r="Q187" s="576">
        <v>3</v>
      </c>
      <c r="R187" s="576"/>
      <c r="S187" s="576"/>
      <c r="T187" s="576"/>
      <c r="U187" s="576">
        <v>3</v>
      </c>
      <c r="V187" s="576">
        <v>3</v>
      </c>
      <c r="W187" s="576">
        <v>3</v>
      </c>
      <c r="X187" s="576"/>
      <c r="Y187" s="576"/>
      <c r="Z187" s="576"/>
      <c r="AA187" s="576"/>
      <c r="AB187" s="576"/>
      <c r="AC187" s="577" t="e">
        <f>IF(NFI_Expiration=1,IF(#REF!&lt;VLOOKUP(L$5,NFI,5,0),1,0)*Table_NFI[[#This Row],[NFI Core Kit]],Table_NFI[NFI Core Kit])</f>
        <v>#REF!</v>
      </c>
      <c r="AD187" s="577" t="e">
        <f>IF(NFI_Expiration=1,IF(#REF!&lt;VLOOKUP(M$5,NFI,5,0),1,0)*Table_NFI[[#This Row],[Sanitary Kit]],Table_NFI[Sanitary Kit])</f>
        <v>#REF!</v>
      </c>
      <c r="AE187" s="577" t="e">
        <f>IF(NFI_Expiration=1,IF(#REF!&lt;VLOOKUP(N$5,NFI,5,0),1,0)*Table_NFI[[#This Row],[Mosquito net]],Table_NFI[Mosquito net])</f>
        <v>#REF!</v>
      </c>
      <c r="AF187" s="577" t="e">
        <f>IF(NFI_Expiration=1,IF(#REF!&lt;VLOOKUP(O$5,NFI,5,0),1,0)*Table_NFI[[#This Row],[Tarpaulin]],Table_NFI[[#This Row],[Tarpaulin]])</f>
        <v>#REF!</v>
      </c>
      <c r="AG187" s="577" t="e">
        <f>IF(NFI_Expiration=1,IF(#REF!&lt;VLOOKUP(P$5,NFI,5,0),1,0)*Table_NFI[[#This Row],[Blanket]],Table_NFI[[#This Row],[Blanket]])</f>
        <v>#REF!</v>
      </c>
      <c r="AH187" s="577" t="e">
        <f>IF(NFI_Expiration=1,IF(#REF!&lt;VLOOKUP(Q$5,NFI,5,0),1,0)*Table_NFI[[#This Row],[Kitchen Set]],Table_NFI[Kitchen Set])</f>
        <v>#REF!</v>
      </c>
      <c r="AI187" s="577" t="e">
        <f>IF(NFI_Expiration=1,IF(#REF!&lt;VLOOKUP(R$5,NFI,5,0),1,0)*Table_NFI[[#This Row],[Clothes Kit]],Table_NFI[Clothes Kit])</f>
        <v>#REF!</v>
      </c>
      <c r="AJ187" s="577" t="e">
        <f>IF(NFI_Expiration=1,IF(#REF!&lt;VLOOKUP(S$5,NFI,5,0),1,0)*Table_NFI[[#This Row],[Plastic Bucket]],Table_NFI[Plastic Bucket])</f>
        <v>#REF!</v>
      </c>
      <c r="AK187" s="577" t="e">
        <f>IF(NFI_Expiration=1,IF(#REF!&lt;VLOOKUP(T$5,NFI,5,0),1,0)*Table_NFI[[#This Row],[Plastic Mat]],Table_NFI[Plastic Mat])*IF(Table_NFI[[#This Row],[Distribution Date]]&gt;"2014-04-01",1,2.5)</f>
        <v>#REF!</v>
      </c>
      <c r="AL187" s="577" t="e">
        <f>IF(NFI_Expiration=1,IF(#REF!&lt;VLOOKUP(U$5,NFI,5,0),1,0)*Table_NFI[[#This Row],[Winter Clothes Adult]],Table_NFI[Winter Clothes Adult])</f>
        <v>#REF!</v>
      </c>
      <c r="AM187" s="577"/>
      <c r="AN187" s="577"/>
      <c r="AO187" s="577"/>
      <c r="AP187" s="577">
        <f>IF(Table_NFI[[#This Row],[Winter Clothes Adult]]+Table_NFI[[#This Row],[Winter Clothes Children]]+Table_NFI[[#This Row],[Winter Items Other]]+Table_NFI[[#This Row],[Winter Blanket]]&gt;0,1,0)</f>
        <v>1</v>
      </c>
      <c r="AQ187" s="577"/>
      <c r="AR187" s="577"/>
      <c r="AS187" s="577"/>
      <c r="AT187" s="220" t="str">
        <f>IFERROR(VLOOKUP(Table_NFI[[#This Row],[Location]],CL,2,0),"")</f>
        <v>MMR001CMP132</v>
      </c>
      <c r="AU187" s="197"/>
    </row>
    <row r="188" spans="2:47" hidden="1" x14ac:dyDescent="0.3">
      <c r="B188" s="575">
        <v>43111</v>
      </c>
      <c r="C188" s="575" t="str">
        <f>MONTH(Table_NFI[[#This Row],[Distribution Date]]) &amp; "/" &amp; YEAR(Table_NFI[[#This Row],[Distribution Date]])</f>
        <v>1/2018</v>
      </c>
      <c r="D188" s="213" t="s">
        <v>1474</v>
      </c>
      <c r="E188" s="213"/>
      <c r="F188" s="213" t="s">
        <v>506</v>
      </c>
      <c r="G188" s="213" t="s">
        <v>297</v>
      </c>
      <c r="H188" s="213" t="s">
        <v>1281</v>
      </c>
      <c r="I188" s="197">
        <v>1</v>
      </c>
      <c r="J188" s="576"/>
      <c r="K188" s="576"/>
      <c r="L188" s="576"/>
      <c r="M188" s="576"/>
      <c r="N188" s="576"/>
      <c r="O188" s="576"/>
      <c r="P188" s="576"/>
      <c r="Q188" s="576"/>
      <c r="R188" s="576"/>
      <c r="S188" s="576"/>
      <c r="T188" s="576"/>
      <c r="U188" s="576"/>
      <c r="V188" s="576"/>
      <c r="W188" s="576"/>
      <c r="X188" s="576"/>
      <c r="Y188" s="576"/>
      <c r="Z188" s="576"/>
      <c r="AA188" s="576"/>
      <c r="AB188" s="576"/>
      <c r="AC188" s="577" t="e">
        <f>IF(NFI_Expiration=1,IF(#REF!&lt;VLOOKUP(L$5,NFI,5,0),1,0)*Table_NFI[[#This Row],[NFI Core Kit]],Table_NFI[NFI Core Kit])</f>
        <v>#REF!</v>
      </c>
      <c r="AD188" s="577" t="e">
        <f>IF(NFI_Expiration=1,IF(#REF!&lt;VLOOKUP(M$5,NFI,5,0),1,0)*Table_NFI[[#This Row],[Sanitary Kit]],Table_NFI[Sanitary Kit])</f>
        <v>#REF!</v>
      </c>
      <c r="AE188" s="577" t="e">
        <f>IF(NFI_Expiration=1,IF(#REF!&lt;VLOOKUP(N$5,NFI,5,0),1,0)*Table_NFI[[#This Row],[Mosquito net]],Table_NFI[Mosquito net])</f>
        <v>#REF!</v>
      </c>
      <c r="AF188" s="577" t="e">
        <f>IF(NFI_Expiration=1,IF(#REF!&lt;VLOOKUP(O$5,NFI,5,0),1,0)*Table_NFI[[#This Row],[Tarpaulin]],Table_NFI[[#This Row],[Tarpaulin]])</f>
        <v>#REF!</v>
      </c>
      <c r="AG188" s="577" t="e">
        <f>IF(NFI_Expiration=1,IF(#REF!&lt;VLOOKUP(P$5,NFI,5,0),1,0)*Table_NFI[[#This Row],[Blanket]],Table_NFI[[#This Row],[Blanket]])</f>
        <v>#REF!</v>
      </c>
      <c r="AH188" s="577" t="e">
        <f>IF(NFI_Expiration=1,IF(#REF!&lt;VLOOKUP(Q$5,NFI,5,0),1,0)*Table_NFI[[#This Row],[Kitchen Set]],Table_NFI[Kitchen Set])</f>
        <v>#REF!</v>
      </c>
      <c r="AI188" s="577" t="e">
        <f>IF(NFI_Expiration=1,IF(#REF!&lt;VLOOKUP(R$5,NFI,5,0),1,0)*Table_NFI[[#This Row],[Clothes Kit]],Table_NFI[Clothes Kit])</f>
        <v>#REF!</v>
      </c>
      <c r="AJ188" s="577" t="e">
        <f>IF(NFI_Expiration=1,IF(#REF!&lt;VLOOKUP(S$5,NFI,5,0),1,0)*Table_NFI[[#This Row],[Plastic Bucket]],Table_NFI[Plastic Bucket])</f>
        <v>#REF!</v>
      </c>
      <c r="AK188" s="577" t="e">
        <f>IF(NFI_Expiration=1,IF(#REF!&lt;VLOOKUP(T$5,NFI,5,0),1,0)*Table_NFI[[#This Row],[Plastic Mat]],Table_NFI[Plastic Mat])*IF(Table_NFI[[#This Row],[Distribution Date]]&gt;"2014-04-01",1,2.5)</f>
        <v>#REF!</v>
      </c>
      <c r="AL188" s="577" t="e">
        <f>IF(NFI_Expiration=1,IF(#REF!&lt;VLOOKUP(U$5,NFI,5,0),1,0)*Table_NFI[[#This Row],[Winter Clothes Adult]],Table_NFI[Winter Clothes Adult])</f>
        <v>#REF!</v>
      </c>
      <c r="AM188" s="577"/>
      <c r="AN188" s="577"/>
      <c r="AO188" s="577"/>
      <c r="AP188" s="577">
        <f>IF(Table_NFI[[#This Row],[Winter Clothes Adult]]+Table_NFI[[#This Row],[Winter Clothes Children]]+Table_NFI[[#This Row],[Winter Items Other]]+Table_NFI[[#This Row],[Winter Blanket]]&gt;0,1,0)</f>
        <v>0</v>
      </c>
      <c r="AQ188" s="577"/>
      <c r="AR188" s="577"/>
      <c r="AS188" s="577"/>
      <c r="AT188" s="220" t="str">
        <f>IFERROR(VLOOKUP(Table_NFI[[#This Row],[Location]],CL,2,0),"")</f>
        <v>MMR015CMP248</v>
      </c>
      <c r="AU188" s="197"/>
    </row>
    <row r="189" spans="2:47" hidden="1" x14ac:dyDescent="0.3">
      <c r="B189" s="575">
        <v>43112</v>
      </c>
      <c r="C189" s="575" t="str">
        <f>MONTH(Table_NFI[[#This Row],[Distribution Date]]) &amp; "/" &amp; YEAR(Table_NFI[[#This Row],[Distribution Date]])</f>
        <v>1/2018</v>
      </c>
      <c r="D189" s="213" t="s">
        <v>1474</v>
      </c>
      <c r="E189" s="213"/>
      <c r="F189" s="213" t="s">
        <v>506</v>
      </c>
      <c r="G189" s="213" t="s">
        <v>297</v>
      </c>
      <c r="H189" s="213" t="s">
        <v>759</v>
      </c>
      <c r="I189" s="197">
        <v>1</v>
      </c>
      <c r="J189" s="576"/>
      <c r="K189" s="576"/>
      <c r="L189" s="576"/>
      <c r="M189" s="576"/>
      <c r="N189" s="576"/>
      <c r="O189" s="576"/>
      <c r="P189" s="576"/>
      <c r="Q189" s="576"/>
      <c r="R189" s="576"/>
      <c r="S189" s="576"/>
      <c r="T189" s="576"/>
      <c r="U189" s="576"/>
      <c r="V189" s="576"/>
      <c r="W189" s="576"/>
      <c r="X189" s="576"/>
      <c r="Y189" s="576"/>
      <c r="Z189" s="576"/>
      <c r="AA189" s="576"/>
      <c r="AB189" s="576"/>
      <c r="AC189" s="577" t="e">
        <f>IF(NFI_Expiration=1,IF(#REF!&lt;VLOOKUP(L$5,NFI,5,0),1,0)*Table_NFI[[#This Row],[NFI Core Kit]],Table_NFI[NFI Core Kit])</f>
        <v>#REF!</v>
      </c>
      <c r="AD189" s="577" t="e">
        <f>IF(NFI_Expiration=1,IF(#REF!&lt;VLOOKUP(M$5,NFI,5,0),1,0)*Table_NFI[[#This Row],[Sanitary Kit]],Table_NFI[Sanitary Kit])</f>
        <v>#REF!</v>
      </c>
      <c r="AE189" s="577" t="e">
        <f>IF(NFI_Expiration=1,IF(#REF!&lt;VLOOKUP(N$5,NFI,5,0),1,0)*Table_NFI[[#This Row],[Mosquito net]],Table_NFI[Mosquito net])</f>
        <v>#REF!</v>
      </c>
      <c r="AF189" s="577" t="e">
        <f>IF(NFI_Expiration=1,IF(#REF!&lt;VLOOKUP(O$5,NFI,5,0),1,0)*Table_NFI[[#This Row],[Tarpaulin]],Table_NFI[[#This Row],[Tarpaulin]])</f>
        <v>#REF!</v>
      </c>
      <c r="AG189" s="577" t="e">
        <f>IF(NFI_Expiration=1,IF(#REF!&lt;VLOOKUP(P$5,NFI,5,0),1,0)*Table_NFI[[#This Row],[Blanket]],Table_NFI[[#This Row],[Blanket]])</f>
        <v>#REF!</v>
      </c>
      <c r="AH189" s="577" t="e">
        <f>IF(NFI_Expiration=1,IF(#REF!&lt;VLOOKUP(Q$5,NFI,5,0),1,0)*Table_NFI[[#This Row],[Kitchen Set]],Table_NFI[Kitchen Set])</f>
        <v>#REF!</v>
      </c>
      <c r="AI189" s="577" t="e">
        <f>IF(NFI_Expiration=1,IF(#REF!&lt;VLOOKUP(R$5,NFI,5,0),1,0)*Table_NFI[[#This Row],[Clothes Kit]],Table_NFI[Clothes Kit])</f>
        <v>#REF!</v>
      </c>
      <c r="AJ189" s="577" t="e">
        <f>IF(NFI_Expiration=1,IF(#REF!&lt;VLOOKUP(S$5,NFI,5,0),1,0)*Table_NFI[[#This Row],[Plastic Bucket]],Table_NFI[Plastic Bucket])</f>
        <v>#REF!</v>
      </c>
      <c r="AK189" s="577" t="e">
        <f>IF(NFI_Expiration=1,IF(#REF!&lt;VLOOKUP(T$5,NFI,5,0),1,0)*Table_NFI[[#This Row],[Plastic Mat]],Table_NFI[Plastic Mat])*IF(Table_NFI[[#This Row],[Distribution Date]]&gt;"2014-04-01",1,2.5)</f>
        <v>#REF!</v>
      </c>
      <c r="AL189" s="577" t="e">
        <f>IF(NFI_Expiration=1,IF(#REF!&lt;VLOOKUP(U$5,NFI,5,0),1,0)*Table_NFI[[#This Row],[Winter Clothes Adult]],Table_NFI[Winter Clothes Adult])</f>
        <v>#REF!</v>
      </c>
      <c r="AM189" s="577"/>
      <c r="AN189" s="577"/>
      <c r="AO189" s="577"/>
      <c r="AP189" s="577">
        <f>IF(Table_NFI[[#This Row],[Winter Clothes Adult]]+Table_NFI[[#This Row],[Winter Clothes Children]]+Table_NFI[[#This Row],[Winter Items Other]]+Table_NFI[[#This Row],[Winter Blanket]]&gt;0,1,0)</f>
        <v>0</v>
      </c>
      <c r="AQ189" s="577"/>
      <c r="AR189" s="577"/>
      <c r="AS189" s="577"/>
      <c r="AT189" s="220" t="str">
        <f>IFERROR(VLOOKUP(Table_NFI[[#This Row],[Location]],CL,2,0),"")</f>
        <v>MMR015CMP014</v>
      </c>
      <c r="AU189" s="197"/>
    </row>
    <row r="190" spans="2:47" hidden="1" x14ac:dyDescent="0.3">
      <c r="B190" s="575">
        <v>43115</v>
      </c>
      <c r="C190" s="575" t="str">
        <f>MONTH(Table_NFI[[#This Row],[Distribution Date]]) &amp; "/" &amp; YEAR(Table_NFI[[#This Row],[Distribution Date]])</f>
        <v>1/2018</v>
      </c>
      <c r="D190" s="213" t="s">
        <v>1474</v>
      </c>
      <c r="E190" s="213"/>
      <c r="F190" s="213" t="s">
        <v>506</v>
      </c>
      <c r="G190" s="213" t="s">
        <v>297</v>
      </c>
      <c r="H190" s="213" t="s">
        <v>1192</v>
      </c>
      <c r="I190" s="197">
        <v>18</v>
      </c>
      <c r="J190" s="576"/>
      <c r="K190" s="576"/>
      <c r="L190" s="576"/>
      <c r="M190" s="576"/>
      <c r="N190" s="576"/>
      <c r="O190" s="576"/>
      <c r="P190" s="576"/>
      <c r="Q190" s="576"/>
      <c r="R190" s="576"/>
      <c r="S190" s="576"/>
      <c r="T190" s="576"/>
      <c r="U190" s="576"/>
      <c r="V190" s="576"/>
      <c r="W190" s="576"/>
      <c r="X190" s="576"/>
      <c r="Y190" s="576"/>
      <c r="Z190" s="576"/>
      <c r="AA190" s="576"/>
      <c r="AB190" s="576"/>
      <c r="AC190" s="577" t="e">
        <f>IF(NFI_Expiration=1,IF(#REF!&lt;VLOOKUP(L$5,NFI,5,0),1,0)*Table_NFI[[#This Row],[NFI Core Kit]],Table_NFI[NFI Core Kit])</f>
        <v>#REF!</v>
      </c>
      <c r="AD190" s="577" t="e">
        <f>IF(NFI_Expiration=1,IF(#REF!&lt;VLOOKUP(M$5,NFI,5,0),1,0)*Table_NFI[[#This Row],[Sanitary Kit]],Table_NFI[Sanitary Kit])</f>
        <v>#REF!</v>
      </c>
      <c r="AE190" s="577" t="e">
        <f>IF(NFI_Expiration=1,IF(#REF!&lt;VLOOKUP(N$5,NFI,5,0),1,0)*Table_NFI[[#This Row],[Mosquito net]],Table_NFI[Mosquito net])</f>
        <v>#REF!</v>
      </c>
      <c r="AF190" s="577" t="e">
        <f>IF(NFI_Expiration=1,IF(#REF!&lt;VLOOKUP(O$5,NFI,5,0),1,0)*Table_NFI[[#This Row],[Tarpaulin]],Table_NFI[[#This Row],[Tarpaulin]])</f>
        <v>#REF!</v>
      </c>
      <c r="AG190" s="577" t="e">
        <f>IF(NFI_Expiration=1,IF(#REF!&lt;VLOOKUP(P$5,NFI,5,0),1,0)*Table_NFI[[#This Row],[Blanket]],Table_NFI[[#This Row],[Blanket]])</f>
        <v>#REF!</v>
      </c>
      <c r="AH190" s="577" t="e">
        <f>IF(NFI_Expiration=1,IF(#REF!&lt;VLOOKUP(Q$5,NFI,5,0),1,0)*Table_NFI[[#This Row],[Kitchen Set]],Table_NFI[Kitchen Set])</f>
        <v>#REF!</v>
      </c>
      <c r="AI190" s="577" t="e">
        <f>IF(NFI_Expiration=1,IF(#REF!&lt;VLOOKUP(R$5,NFI,5,0),1,0)*Table_NFI[[#This Row],[Clothes Kit]],Table_NFI[Clothes Kit])</f>
        <v>#REF!</v>
      </c>
      <c r="AJ190" s="577" t="e">
        <f>IF(NFI_Expiration=1,IF(#REF!&lt;VLOOKUP(S$5,NFI,5,0),1,0)*Table_NFI[[#This Row],[Plastic Bucket]],Table_NFI[Plastic Bucket])</f>
        <v>#REF!</v>
      </c>
      <c r="AK190" s="577" t="e">
        <f>IF(NFI_Expiration=1,IF(#REF!&lt;VLOOKUP(T$5,NFI,5,0),1,0)*Table_NFI[[#This Row],[Plastic Mat]],Table_NFI[Plastic Mat])*IF(Table_NFI[[#This Row],[Distribution Date]]&gt;"2014-04-01",1,2.5)</f>
        <v>#REF!</v>
      </c>
      <c r="AL190" s="577" t="e">
        <f>IF(NFI_Expiration=1,IF(#REF!&lt;VLOOKUP(U$5,NFI,5,0),1,0)*Table_NFI[[#This Row],[Winter Clothes Adult]],Table_NFI[Winter Clothes Adult])</f>
        <v>#REF!</v>
      </c>
      <c r="AM190" s="577"/>
      <c r="AN190" s="577"/>
      <c r="AO190" s="577"/>
      <c r="AP190" s="577">
        <f>IF(Table_NFI[[#This Row],[Winter Clothes Adult]]+Table_NFI[[#This Row],[Winter Clothes Children]]+Table_NFI[[#This Row],[Winter Items Other]]+Table_NFI[[#This Row],[Winter Blanket]]&gt;0,1,0)</f>
        <v>0</v>
      </c>
      <c r="AQ190" s="577"/>
      <c r="AR190" s="577"/>
      <c r="AS190" s="577"/>
      <c r="AT190" s="220" t="str">
        <f>IFERROR(VLOOKUP(Table_NFI[[#This Row],[Location]],CL,2,0),"")</f>
        <v>MMR015CMP232</v>
      </c>
      <c r="AU190" s="197" t="s">
        <v>1653</v>
      </c>
    </row>
    <row r="191" spans="2:47" x14ac:dyDescent="0.3">
      <c r="B191" s="575">
        <v>43115</v>
      </c>
      <c r="C191" s="575" t="str">
        <f>MONTH(Table_NFI[[#This Row],[Distribution Date]]) &amp; "/" &amp; YEAR(Table_NFI[[#This Row],[Distribution Date]])</f>
        <v>1/2018</v>
      </c>
      <c r="D191" s="213" t="s">
        <v>1474</v>
      </c>
      <c r="E191" s="213"/>
      <c r="F191" s="213" t="s">
        <v>506</v>
      </c>
      <c r="G191" s="235" t="s">
        <v>1594</v>
      </c>
      <c r="H191" s="213" t="s">
        <v>372</v>
      </c>
      <c r="I191" s="197">
        <v>2</v>
      </c>
      <c r="J191" s="576"/>
      <c r="K191" s="576"/>
      <c r="L191" s="576"/>
      <c r="M191" s="576"/>
      <c r="N191" s="576"/>
      <c r="O191" s="576"/>
      <c r="P191" s="576"/>
      <c r="Q191" s="576">
        <v>2</v>
      </c>
      <c r="R191" s="576"/>
      <c r="S191" s="576">
        <v>2</v>
      </c>
      <c r="T191" s="576"/>
      <c r="U191" s="576"/>
      <c r="V191" s="576"/>
      <c r="W191" s="576"/>
      <c r="X191" s="576">
        <v>2</v>
      </c>
      <c r="Y191" s="576"/>
      <c r="Z191" s="576"/>
      <c r="AA191" s="576"/>
      <c r="AB191" s="576"/>
      <c r="AC191" s="577" t="e">
        <f>IF(NFI_Expiration=1,IF(#REF!&lt;VLOOKUP(L$5,NFI,5,0),1,0)*Table_NFI[[#This Row],[NFI Core Kit]],Table_NFI[NFI Core Kit])</f>
        <v>#REF!</v>
      </c>
      <c r="AD191" s="577" t="e">
        <f>IF(NFI_Expiration=1,IF(#REF!&lt;VLOOKUP(M$5,NFI,5,0),1,0)*Table_NFI[[#This Row],[Sanitary Kit]],Table_NFI[Sanitary Kit])</f>
        <v>#REF!</v>
      </c>
      <c r="AE191" s="577" t="e">
        <f>IF(NFI_Expiration=1,IF(#REF!&lt;VLOOKUP(N$5,NFI,5,0),1,0)*Table_NFI[[#This Row],[Mosquito net]],Table_NFI[Mosquito net])</f>
        <v>#REF!</v>
      </c>
      <c r="AF191" s="577" t="e">
        <f>IF(NFI_Expiration=1,IF(#REF!&lt;VLOOKUP(O$5,NFI,5,0),1,0)*Table_NFI[[#This Row],[Tarpaulin]],Table_NFI[[#This Row],[Tarpaulin]])</f>
        <v>#REF!</v>
      </c>
      <c r="AG191" s="577" t="e">
        <f>IF(NFI_Expiration=1,IF(#REF!&lt;VLOOKUP(P$5,NFI,5,0),1,0)*Table_NFI[[#This Row],[Blanket]],Table_NFI[[#This Row],[Blanket]])</f>
        <v>#REF!</v>
      </c>
      <c r="AH191" s="577" t="e">
        <f>IF(NFI_Expiration=1,IF(#REF!&lt;VLOOKUP(Q$5,NFI,5,0),1,0)*Table_NFI[[#This Row],[Kitchen Set]],Table_NFI[Kitchen Set])</f>
        <v>#REF!</v>
      </c>
      <c r="AI191" s="577" t="e">
        <f>IF(NFI_Expiration=1,IF(#REF!&lt;VLOOKUP(R$5,NFI,5,0),1,0)*Table_NFI[[#This Row],[Clothes Kit]],Table_NFI[Clothes Kit])</f>
        <v>#REF!</v>
      </c>
      <c r="AJ191" s="577" t="e">
        <f>IF(NFI_Expiration=1,IF(#REF!&lt;VLOOKUP(S$5,NFI,5,0),1,0)*Table_NFI[[#This Row],[Plastic Bucket]],Table_NFI[Plastic Bucket])</f>
        <v>#REF!</v>
      </c>
      <c r="AK191" s="577" t="e">
        <f>IF(NFI_Expiration=1,IF(#REF!&lt;VLOOKUP(T$5,NFI,5,0),1,0)*Table_NFI[[#This Row],[Plastic Mat]],Table_NFI[Plastic Mat])*IF(Table_NFI[[#This Row],[Distribution Date]]&gt;"2014-04-01",1,2.5)</f>
        <v>#REF!</v>
      </c>
      <c r="AL191" s="577" t="e">
        <f>IF(NFI_Expiration=1,IF(#REF!&lt;VLOOKUP(U$5,NFI,5,0),1,0)*Table_NFI[[#This Row],[Winter Clothes Adult]],Table_NFI[Winter Clothes Adult])</f>
        <v>#REF!</v>
      </c>
      <c r="AM191" s="577"/>
      <c r="AN191" s="577"/>
      <c r="AO191" s="577"/>
      <c r="AP191" s="577">
        <f>IF(Table_NFI[[#This Row],[Winter Clothes Adult]]+Table_NFI[[#This Row],[Winter Clothes Children]]+Table_NFI[[#This Row],[Winter Items Other]]+Table_NFI[[#This Row],[Winter Blanket]]&gt;0,1,0)</f>
        <v>1</v>
      </c>
      <c r="AQ191" s="577"/>
      <c r="AR191" s="577"/>
      <c r="AS191" s="577"/>
      <c r="AT191" s="220" t="str">
        <f>IFERROR(VLOOKUP(Table_NFI[[#This Row],[Location]],CL,2,0),"")</f>
        <v>MMR015CMP003</v>
      </c>
      <c r="AU191" s="197" t="s">
        <v>1653</v>
      </c>
    </row>
    <row r="192" spans="2:47" x14ac:dyDescent="0.3">
      <c r="B192" s="575">
        <v>43115</v>
      </c>
      <c r="C192" s="575" t="str">
        <f>MONTH(Table_NFI[[#This Row],[Distribution Date]]) &amp; "/" &amp; YEAR(Table_NFI[[#This Row],[Distribution Date]])</f>
        <v>1/2018</v>
      </c>
      <c r="D192" s="213" t="s">
        <v>1474</v>
      </c>
      <c r="E192" s="213"/>
      <c r="F192" s="213" t="s">
        <v>506</v>
      </c>
      <c r="G192" s="235" t="s">
        <v>1594</v>
      </c>
      <c r="H192" s="213" t="s">
        <v>291</v>
      </c>
      <c r="I192" s="197">
        <v>8</v>
      </c>
      <c r="J192" s="576"/>
      <c r="K192" s="576"/>
      <c r="L192" s="576"/>
      <c r="M192" s="576"/>
      <c r="N192" s="576"/>
      <c r="O192" s="576"/>
      <c r="P192" s="576"/>
      <c r="Q192" s="576">
        <v>8</v>
      </c>
      <c r="R192" s="576"/>
      <c r="S192" s="576">
        <v>8</v>
      </c>
      <c r="T192" s="576"/>
      <c r="U192" s="576"/>
      <c r="V192" s="576"/>
      <c r="W192" s="576"/>
      <c r="X192" s="576">
        <v>8</v>
      </c>
      <c r="Y192" s="576"/>
      <c r="Z192" s="576"/>
      <c r="AA192" s="576"/>
      <c r="AB192" s="576"/>
      <c r="AC192" s="577" t="e">
        <f>IF(NFI_Expiration=1,IF(#REF!&lt;VLOOKUP(L$5,NFI,5,0),1,0)*Table_NFI[[#This Row],[NFI Core Kit]],Table_NFI[NFI Core Kit])</f>
        <v>#REF!</v>
      </c>
      <c r="AD192" s="577" t="e">
        <f>IF(NFI_Expiration=1,IF(#REF!&lt;VLOOKUP(M$5,NFI,5,0),1,0)*Table_NFI[[#This Row],[Sanitary Kit]],Table_NFI[Sanitary Kit])</f>
        <v>#REF!</v>
      </c>
      <c r="AE192" s="577" t="e">
        <f>IF(NFI_Expiration=1,IF(#REF!&lt;VLOOKUP(N$5,NFI,5,0),1,0)*Table_NFI[[#This Row],[Mosquito net]],Table_NFI[Mosquito net])</f>
        <v>#REF!</v>
      </c>
      <c r="AF192" s="577" t="e">
        <f>IF(NFI_Expiration=1,IF(#REF!&lt;VLOOKUP(O$5,NFI,5,0),1,0)*Table_NFI[[#This Row],[Tarpaulin]],Table_NFI[[#This Row],[Tarpaulin]])</f>
        <v>#REF!</v>
      </c>
      <c r="AG192" s="577" t="e">
        <f>IF(NFI_Expiration=1,IF(#REF!&lt;VLOOKUP(P$5,NFI,5,0),1,0)*Table_NFI[[#This Row],[Blanket]],Table_NFI[[#This Row],[Blanket]])</f>
        <v>#REF!</v>
      </c>
      <c r="AH192" s="577" t="e">
        <f>IF(NFI_Expiration=1,IF(#REF!&lt;VLOOKUP(Q$5,NFI,5,0),1,0)*Table_NFI[[#This Row],[Kitchen Set]],Table_NFI[Kitchen Set])</f>
        <v>#REF!</v>
      </c>
      <c r="AI192" s="577" t="e">
        <f>IF(NFI_Expiration=1,IF(#REF!&lt;VLOOKUP(R$5,NFI,5,0),1,0)*Table_NFI[[#This Row],[Clothes Kit]],Table_NFI[Clothes Kit])</f>
        <v>#REF!</v>
      </c>
      <c r="AJ192" s="577" t="e">
        <f>IF(NFI_Expiration=1,IF(#REF!&lt;VLOOKUP(S$5,NFI,5,0),1,0)*Table_NFI[[#This Row],[Plastic Bucket]],Table_NFI[Plastic Bucket])</f>
        <v>#REF!</v>
      </c>
      <c r="AK192" s="577" t="e">
        <f>IF(NFI_Expiration=1,IF(#REF!&lt;VLOOKUP(T$5,NFI,5,0),1,0)*Table_NFI[[#This Row],[Plastic Mat]],Table_NFI[Plastic Mat])*IF(Table_NFI[[#This Row],[Distribution Date]]&gt;"2014-04-01",1,2.5)</f>
        <v>#REF!</v>
      </c>
      <c r="AL192" s="577" t="e">
        <f>IF(NFI_Expiration=1,IF(#REF!&lt;VLOOKUP(U$5,NFI,5,0),1,0)*Table_NFI[[#This Row],[Winter Clothes Adult]],Table_NFI[Winter Clothes Adult])</f>
        <v>#REF!</v>
      </c>
      <c r="AM192" s="577"/>
      <c r="AN192" s="577"/>
      <c r="AO192" s="577"/>
      <c r="AP192" s="577">
        <f>IF(Table_NFI[[#This Row],[Winter Clothes Adult]]+Table_NFI[[#This Row],[Winter Clothes Children]]+Table_NFI[[#This Row],[Winter Items Other]]+Table_NFI[[#This Row],[Winter Blanket]]&gt;0,1,0)</f>
        <v>1</v>
      </c>
      <c r="AQ192" s="577"/>
      <c r="AR192" s="577"/>
      <c r="AS192" s="577"/>
      <c r="AT192" s="220" t="str">
        <f>IFERROR(VLOOKUP(Table_NFI[[#This Row],[Location]],CL,2,0),"")</f>
        <v>MMR015CMP004</v>
      </c>
      <c r="AU192" s="197" t="s">
        <v>1653</v>
      </c>
    </row>
    <row r="193" spans="2:47" x14ac:dyDescent="0.3">
      <c r="B193" s="575">
        <v>43115</v>
      </c>
      <c r="C193" s="575" t="str">
        <f>MONTH(Table_NFI[[#This Row],[Distribution Date]]) &amp; "/" &amp; YEAR(Table_NFI[[#This Row],[Distribution Date]])</f>
        <v>1/2018</v>
      </c>
      <c r="D193" s="213" t="s">
        <v>1474</v>
      </c>
      <c r="E193" s="213"/>
      <c r="F193" s="213" t="s">
        <v>506</v>
      </c>
      <c r="G193" s="235" t="s">
        <v>1594</v>
      </c>
      <c r="H193" s="213" t="s">
        <v>917</v>
      </c>
      <c r="I193" s="197">
        <v>15</v>
      </c>
      <c r="J193" s="576"/>
      <c r="K193" s="576"/>
      <c r="L193" s="576"/>
      <c r="M193" s="576"/>
      <c r="N193" s="576"/>
      <c r="O193" s="576"/>
      <c r="P193" s="576"/>
      <c r="Q193" s="576">
        <v>15</v>
      </c>
      <c r="R193" s="576"/>
      <c r="S193" s="576">
        <v>15</v>
      </c>
      <c r="T193" s="576"/>
      <c r="U193" s="576"/>
      <c r="V193" s="576"/>
      <c r="W193" s="576"/>
      <c r="X193" s="576">
        <v>15</v>
      </c>
      <c r="Y193" s="576"/>
      <c r="Z193" s="576"/>
      <c r="AA193" s="576"/>
      <c r="AB193" s="576"/>
      <c r="AC193" s="577" t="e">
        <f>IF(NFI_Expiration=1,IF(#REF!&lt;VLOOKUP(L$5,NFI,5,0),1,0)*Table_NFI[[#This Row],[NFI Core Kit]],Table_NFI[NFI Core Kit])</f>
        <v>#REF!</v>
      </c>
      <c r="AD193" s="577" t="e">
        <f>IF(NFI_Expiration=1,IF(#REF!&lt;VLOOKUP(M$5,NFI,5,0),1,0)*Table_NFI[[#This Row],[Sanitary Kit]],Table_NFI[Sanitary Kit])</f>
        <v>#REF!</v>
      </c>
      <c r="AE193" s="577" t="e">
        <f>IF(NFI_Expiration=1,IF(#REF!&lt;VLOOKUP(N$5,NFI,5,0),1,0)*Table_NFI[[#This Row],[Mosquito net]],Table_NFI[Mosquito net])</f>
        <v>#REF!</v>
      </c>
      <c r="AF193" s="577" t="e">
        <f>IF(NFI_Expiration=1,IF(#REF!&lt;VLOOKUP(O$5,NFI,5,0),1,0)*Table_NFI[[#This Row],[Tarpaulin]],Table_NFI[[#This Row],[Tarpaulin]])</f>
        <v>#REF!</v>
      </c>
      <c r="AG193" s="577" t="e">
        <f>IF(NFI_Expiration=1,IF(#REF!&lt;VLOOKUP(P$5,NFI,5,0),1,0)*Table_NFI[[#This Row],[Blanket]],Table_NFI[[#This Row],[Blanket]])</f>
        <v>#REF!</v>
      </c>
      <c r="AH193" s="577" t="e">
        <f>IF(NFI_Expiration=1,IF(#REF!&lt;VLOOKUP(Q$5,NFI,5,0),1,0)*Table_NFI[[#This Row],[Kitchen Set]],Table_NFI[Kitchen Set])</f>
        <v>#REF!</v>
      </c>
      <c r="AI193" s="577" t="e">
        <f>IF(NFI_Expiration=1,IF(#REF!&lt;VLOOKUP(R$5,NFI,5,0),1,0)*Table_NFI[[#This Row],[Clothes Kit]],Table_NFI[Clothes Kit])</f>
        <v>#REF!</v>
      </c>
      <c r="AJ193" s="577" t="e">
        <f>IF(NFI_Expiration=1,IF(#REF!&lt;VLOOKUP(S$5,NFI,5,0),1,0)*Table_NFI[[#This Row],[Plastic Bucket]],Table_NFI[Plastic Bucket])</f>
        <v>#REF!</v>
      </c>
      <c r="AK193" s="577" t="e">
        <f>IF(NFI_Expiration=1,IF(#REF!&lt;VLOOKUP(T$5,NFI,5,0),1,0)*Table_NFI[[#This Row],[Plastic Mat]],Table_NFI[Plastic Mat])*IF(Table_NFI[[#This Row],[Distribution Date]]&gt;"2014-04-01",1,2.5)</f>
        <v>#REF!</v>
      </c>
      <c r="AL193" s="577" t="e">
        <f>IF(NFI_Expiration=1,IF(#REF!&lt;VLOOKUP(U$5,NFI,5,0),1,0)*Table_NFI[[#This Row],[Winter Clothes Adult]],Table_NFI[Winter Clothes Adult])</f>
        <v>#REF!</v>
      </c>
      <c r="AM193" s="577"/>
      <c r="AN193" s="577"/>
      <c r="AO193" s="577"/>
      <c r="AP193" s="577">
        <f>IF(Table_NFI[[#This Row],[Winter Clothes Adult]]+Table_NFI[[#This Row],[Winter Clothes Children]]+Table_NFI[[#This Row],[Winter Items Other]]+Table_NFI[[#This Row],[Winter Blanket]]&gt;0,1,0)</f>
        <v>1</v>
      </c>
      <c r="AQ193" s="577"/>
      <c r="AR193" s="577"/>
      <c r="AS193" s="577"/>
      <c r="AT193" s="220" t="str">
        <f>IFERROR(VLOOKUP(Table_NFI[[#This Row],[Location]],CL,2,0),"")</f>
        <v>MMR015CMP215</v>
      </c>
      <c r="AU193" s="197" t="s">
        <v>1653</v>
      </c>
    </row>
    <row r="194" spans="2:47" hidden="1" x14ac:dyDescent="0.3">
      <c r="B194" s="575">
        <v>43116</v>
      </c>
      <c r="C194" s="575" t="str">
        <f>MONTH(Table_NFI[[#This Row],[Distribution Date]]) &amp; "/" &amp; YEAR(Table_NFI[[#This Row],[Distribution Date]])</f>
        <v>1/2018</v>
      </c>
      <c r="D194" s="213" t="s">
        <v>1474</v>
      </c>
      <c r="E194" s="213"/>
      <c r="F194" s="213" t="s">
        <v>378</v>
      </c>
      <c r="G194" s="235" t="s">
        <v>151</v>
      </c>
      <c r="H194" s="213" t="s">
        <v>911</v>
      </c>
      <c r="I194" s="197"/>
      <c r="J194" s="576">
        <v>8</v>
      </c>
      <c r="K194" s="576"/>
      <c r="L194" s="576"/>
      <c r="M194" s="576"/>
      <c r="N194" s="576"/>
      <c r="O194" s="576"/>
      <c r="P194" s="576"/>
      <c r="Q194" s="576">
        <v>8</v>
      </c>
      <c r="R194" s="576"/>
      <c r="S194" s="576"/>
      <c r="T194" s="576"/>
      <c r="U194" s="576">
        <v>8</v>
      </c>
      <c r="V194" s="576">
        <v>8</v>
      </c>
      <c r="W194" s="576">
        <v>8</v>
      </c>
      <c r="X194" s="576">
        <v>8</v>
      </c>
      <c r="Y194" s="576"/>
      <c r="Z194" s="576"/>
      <c r="AA194" s="576"/>
      <c r="AB194" s="576"/>
      <c r="AC194" s="577" t="e">
        <f>IF(NFI_Expiration=1,IF(#REF!&lt;VLOOKUP(L$5,NFI,5,0),1,0)*Table_NFI[[#This Row],[NFI Core Kit]],Table_NFI[NFI Core Kit])</f>
        <v>#REF!</v>
      </c>
      <c r="AD194" s="577" t="e">
        <f>IF(NFI_Expiration=1,IF(#REF!&lt;VLOOKUP(M$5,NFI,5,0),1,0)*Table_NFI[[#This Row],[Sanitary Kit]],Table_NFI[Sanitary Kit])</f>
        <v>#REF!</v>
      </c>
      <c r="AE194" s="577" t="e">
        <f>IF(NFI_Expiration=1,IF(#REF!&lt;VLOOKUP(N$5,NFI,5,0),1,0)*Table_NFI[[#This Row],[Mosquito net]],Table_NFI[Mosquito net])</f>
        <v>#REF!</v>
      </c>
      <c r="AF194" s="577" t="e">
        <f>IF(NFI_Expiration=1,IF(#REF!&lt;VLOOKUP(O$5,NFI,5,0),1,0)*Table_NFI[[#This Row],[Tarpaulin]],Table_NFI[[#This Row],[Tarpaulin]])</f>
        <v>#REF!</v>
      </c>
      <c r="AG194" s="577" t="e">
        <f>IF(NFI_Expiration=1,IF(#REF!&lt;VLOOKUP(P$5,NFI,5,0),1,0)*Table_NFI[[#This Row],[Blanket]],Table_NFI[[#This Row],[Blanket]])</f>
        <v>#REF!</v>
      </c>
      <c r="AH194" s="577" t="e">
        <f>IF(NFI_Expiration=1,IF(#REF!&lt;VLOOKUP(Q$5,NFI,5,0),1,0)*Table_NFI[[#This Row],[Kitchen Set]],Table_NFI[Kitchen Set])</f>
        <v>#REF!</v>
      </c>
      <c r="AI194" s="577" t="e">
        <f>IF(NFI_Expiration=1,IF(#REF!&lt;VLOOKUP(R$5,NFI,5,0),1,0)*Table_NFI[[#This Row],[Clothes Kit]],Table_NFI[Clothes Kit])</f>
        <v>#REF!</v>
      </c>
      <c r="AJ194" s="577" t="e">
        <f>IF(NFI_Expiration=1,IF(#REF!&lt;VLOOKUP(S$5,NFI,5,0),1,0)*Table_NFI[[#This Row],[Plastic Bucket]],Table_NFI[Plastic Bucket])</f>
        <v>#REF!</v>
      </c>
      <c r="AK194" s="577" t="e">
        <f>IF(NFI_Expiration=1,IF(#REF!&lt;VLOOKUP(T$5,NFI,5,0),1,0)*Table_NFI[[#This Row],[Plastic Mat]],Table_NFI[Plastic Mat])*IF(Table_NFI[[#This Row],[Distribution Date]]&gt;"2014-04-01",1,2.5)</f>
        <v>#REF!</v>
      </c>
      <c r="AL194" s="577" t="e">
        <f>IF(NFI_Expiration=1,IF(#REF!&lt;VLOOKUP(U$5,NFI,5,0),1,0)*Table_NFI[[#This Row],[Winter Clothes Adult]],Table_NFI[Winter Clothes Adult])</f>
        <v>#REF!</v>
      </c>
      <c r="AM194" s="577"/>
      <c r="AN194" s="577"/>
      <c r="AO194" s="577"/>
      <c r="AP194" s="577">
        <f>IF(Table_NFI[[#This Row],[Winter Clothes Adult]]+Table_NFI[[#This Row],[Winter Clothes Children]]+Table_NFI[[#This Row],[Winter Items Other]]+Table_NFI[[#This Row],[Winter Blanket]]&gt;0,1,0)</f>
        <v>1</v>
      </c>
      <c r="AQ194" s="577"/>
      <c r="AR194" s="577"/>
      <c r="AS194" s="577"/>
      <c r="AT194" s="220" t="str">
        <f>IFERROR(VLOOKUP(Table_NFI[[#This Row],[Location]],CL,2,0),"")</f>
        <v>MMR001CMP228</v>
      </c>
      <c r="AU194" s="197" t="s">
        <v>1654</v>
      </c>
    </row>
    <row r="195" spans="2:47" hidden="1" x14ac:dyDescent="0.3">
      <c r="B195" s="575">
        <v>43116</v>
      </c>
      <c r="C195" s="575" t="str">
        <f>MONTH(Table_NFI[[#This Row],[Distribution Date]]) &amp; "/" &amp; YEAR(Table_NFI[[#This Row],[Distribution Date]])</f>
        <v>1/2018</v>
      </c>
      <c r="D195" s="213" t="s">
        <v>1474</v>
      </c>
      <c r="E195" s="213"/>
      <c r="F195" s="213" t="s">
        <v>378</v>
      </c>
      <c r="G195" s="235" t="s">
        <v>151</v>
      </c>
      <c r="H195" s="213" t="s">
        <v>160</v>
      </c>
      <c r="I195" s="197"/>
      <c r="J195" s="576">
        <v>1</v>
      </c>
      <c r="K195" s="576"/>
      <c r="L195" s="576"/>
      <c r="M195" s="576"/>
      <c r="N195" s="576"/>
      <c r="O195" s="576"/>
      <c r="P195" s="576"/>
      <c r="Q195" s="576">
        <v>1</v>
      </c>
      <c r="R195" s="576"/>
      <c r="S195" s="576"/>
      <c r="T195" s="576"/>
      <c r="U195" s="576">
        <v>1</v>
      </c>
      <c r="V195" s="576">
        <v>1</v>
      </c>
      <c r="W195" s="576">
        <v>1</v>
      </c>
      <c r="X195" s="576">
        <v>1</v>
      </c>
      <c r="Y195" s="576"/>
      <c r="Z195" s="576"/>
      <c r="AA195" s="576"/>
      <c r="AB195" s="576"/>
      <c r="AC195" s="577" t="e">
        <f>IF(NFI_Expiration=1,IF(#REF!&lt;VLOOKUP(L$5,NFI,5,0),1,0)*Table_NFI[[#This Row],[NFI Core Kit]],Table_NFI[NFI Core Kit])</f>
        <v>#REF!</v>
      </c>
      <c r="AD195" s="577" t="e">
        <f>IF(NFI_Expiration=1,IF(#REF!&lt;VLOOKUP(M$5,NFI,5,0),1,0)*Table_NFI[[#This Row],[Sanitary Kit]],Table_NFI[Sanitary Kit])</f>
        <v>#REF!</v>
      </c>
      <c r="AE195" s="577" t="e">
        <f>IF(NFI_Expiration=1,IF(#REF!&lt;VLOOKUP(N$5,NFI,5,0),1,0)*Table_NFI[[#This Row],[Mosquito net]],Table_NFI[Mosquito net])</f>
        <v>#REF!</v>
      </c>
      <c r="AF195" s="577" t="e">
        <f>IF(NFI_Expiration=1,IF(#REF!&lt;VLOOKUP(O$5,NFI,5,0),1,0)*Table_NFI[[#This Row],[Tarpaulin]],Table_NFI[[#This Row],[Tarpaulin]])</f>
        <v>#REF!</v>
      </c>
      <c r="AG195" s="577" t="e">
        <f>IF(NFI_Expiration=1,IF(#REF!&lt;VLOOKUP(P$5,NFI,5,0),1,0)*Table_NFI[[#This Row],[Blanket]],Table_NFI[[#This Row],[Blanket]])</f>
        <v>#REF!</v>
      </c>
      <c r="AH195" s="577" t="e">
        <f>IF(NFI_Expiration=1,IF(#REF!&lt;VLOOKUP(Q$5,NFI,5,0),1,0)*Table_NFI[[#This Row],[Kitchen Set]],Table_NFI[Kitchen Set])</f>
        <v>#REF!</v>
      </c>
      <c r="AI195" s="577" t="e">
        <f>IF(NFI_Expiration=1,IF(#REF!&lt;VLOOKUP(R$5,NFI,5,0),1,0)*Table_NFI[[#This Row],[Clothes Kit]],Table_NFI[Clothes Kit])</f>
        <v>#REF!</v>
      </c>
      <c r="AJ195" s="577" t="e">
        <f>IF(NFI_Expiration=1,IF(#REF!&lt;VLOOKUP(S$5,NFI,5,0),1,0)*Table_NFI[[#This Row],[Plastic Bucket]],Table_NFI[Plastic Bucket])</f>
        <v>#REF!</v>
      </c>
      <c r="AK195" s="577" t="e">
        <f>IF(NFI_Expiration=1,IF(#REF!&lt;VLOOKUP(T$5,NFI,5,0),1,0)*Table_NFI[[#This Row],[Plastic Mat]],Table_NFI[Plastic Mat])*IF(Table_NFI[[#This Row],[Distribution Date]]&gt;"2014-04-01",1,2.5)</f>
        <v>#REF!</v>
      </c>
      <c r="AL195" s="577" t="e">
        <f>IF(NFI_Expiration=1,IF(#REF!&lt;VLOOKUP(U$5,NFI,5,0),1,0)*Table_NFI[[#This Row],[Winter Clothes Adult]],Table_NFI[Winter Clothes Adult])</f>
        <v>#REF!</v>
      </c>
      <c r="AM195" s="577"/>
      <c r="AN195" s="577"/>
      <c r="AO195" s="577"/>
      <c r="AP195" s="577">
        <f>IF(Table_NFI[[#This Row],[Winter Clothes Adult]]+Table_NFI[[#This Row],[Winter Clothes Children]]+Table_NFI[[#This Row],[Winter Items Other]]+Table_NFI[[#This Row],[Winter Blanket]]&gt;0,1,0)</f>
        <v>1</v>
      </c>
      <c r="AQ195" s="577"/>
      <c r="AR195" s="577"/>
      <c r="AS195" s="577"/>
      <c r="AT195" s="220" t="str">
        <f>IFERROR(VLOOKUP(Table_NFI[[#This Row],[Location]],CL,2,0),"")</f>
        <v>MMR001CMP133</v>
      </c>
      <c r="AU195" s="197" t="s">
        <v>1655</v>
      </c>
    </row>
    <row r="196" spans="2:47" hidden="1" x14ac:dyDescent="0.3">
      <c r="B196" s="575">
        <v>43116</v>
      </c>
      <c r="C196" s="575" t="str">
        <f>MONTH(Table_NFI[[#This Row],[Distribution Date]]) &amp; "/" &amp; YEAR(Table_NFI[[#This Row],[Distribution Date]])</f>
        <v>1/2018</v>
      </c>
      <c r="D196" s="213" t="s">
        <v>1474</v>
      </c>
      <c r="E196" s="213"/>
      <c r="F196" s="213" t="s">
        <v>378</v>
      </c>
      <c r="G196" s="235" t="s">
        <v>151</v>
      </c>
      <c r="H196" s="213" t="s">
        <v>938</v>
      </c>
      <c r="I196" s="197"/>
      <c r="J196" s="576">
        <v>25</v>
      </c>
      <c r="K196" s="576"/>
      <c r="L196" s="576"/>
      <c r="M196" s="576"/>
      <c r="N196" s="576"/>
      <c r="O196" s="576"/>
      <c r="P196" s="576"/>
      <c r="Q196" s="576">
        <v>25</v>
      </c>
      <c r="R196" s="576"/>
      <c r="S196" s="576"/>
      <c r="T196" s="576"/>
      <c r="U196" s="576">
        <v>25</v>
      </c>
      <c r="V196" s="576">
        <v>25</v>
      </c>
      <c r="W196" s="576">
        <v>25</v>
      </c>
      <c r="X196" s="576">
        <v>25</v>
      </c>
      <c r="Y196" s="576"/>
      <c r="Z196" s="576"/>
      <c r="AA196" s="576"/>
      <c r="AB196" s="576"/>
      <c r="AC196" s="577" t="e">
        <f>IF(NFI_Expiration=1,IF(#REF!&lt;VLOOKUP(L$5,NFI,5,0),1,0)*Table_NFI[[#This Row],[NFI Core Kit]],Table_NFI[NFI Core Kit])</f>
        <v>#REF!</v>
      </c>
      <c r="AD196" s="577" t="e">
        <f>IF(NFI_Expiration=1,IF(#REF!&lt;VLOOKUP(M$5,NFI,5,0),1,0)*Table_NFI[[#This Row],[Sanitary Kit]],Table_NFI[Sanitary Kit])</f>
        <v>#REF!</v>
      </c>
      <c r="AE196" s="577" t="e">
        <f>IF(NFI_Expiration=1,IF(#REF!&lt;VLOOKUP(N$5,NFI,5,0),1,0)*Table_NFI[[#This Row],[Mosquito net]],Table_NFI[Mosquito net])</f>
        <v>#REF!</v>
      </c>
      <c r="AF196" s="577" t="e">
        <f>IF(NFI_Expiration=1,IF(#REF!&lt;VLOOKUP(O$5,NFI,5,0),1,0)*Table_NFI[[#This Row],[Tarpaulin]],Table_NFI[[#This Row],[Tarpaulin]])</f>
        <v>#REF!</v>
      </c>
      <c r="AG196" s="577" t="e">
        <f>IF(NFI_Expiration=1,IF(#REF!&lt;VLOOKUP(P$5,NFI,5,0),1,0)*Table_NFI[[#This Row],[Blanket]],Table_NFI[[#This Row],[Blanket]])</f>
        <v>#REF!</v>
      </c>
      <c r="AH196" s="577" t="e">
        <f>IF(NFI_Expiration=1,IF(#REF!&lt;VLOOKUP(Q$5,NFI,5,0),1,0)*Table_NFI[[#This Row],[Kitchen Set]],Table_NFI[Kitchen Set])</f>
        <v>#REF!</v>
      </c>
      <c r="AI196" s="577" t="e">
        <f>IF(NFI_Expiration=1,IF(#REF!&lt;VLOOKUP(R$5,NFI,5,0),1,0)*Table_NFI[[#This Row],[Clothes Kit]],Table_NFI[Clothes Kit])</f>
        <v>#REF!</v>
      </c>
      <c r="AJ196" s="577" t="e">
        <f>IF(NFI_Expiration=1,IF(#REF!&lt;VLOOKUP(S$5,NFI,5,0),1,0)*Table_NFI[[#This Row],[Plastic Bucket]],Table_NFI[Plastic Bucket])</f>
        <v>#REF!</v>
      </c>
      <c r="AK196" s="577" t="e">
        <f>IF(NFI_Expiration=1,IF(#REF!&lt;VLOOKUP(T$5,NFI,5,0),1,0)*Table_NFI[[#This Row],[Plastic Mat]],Table_NFI[Plastic Mat])*IF(Table_NFI[[#This Row],[Distribution Date]]&gt;"2014-04-01",1,2.5)</f>
        <v>#REF!</v>
      </c>
      <c r="AL196" s="577" t="e">
        <f>IF(NFI_Expiration=1,IF(#REF!&lt;VLOOKUP(U$5,NFI,5,0),1,0)*Table_NFI[[#This Row],[Winter Clothes Adult]],Table_NFI[Winter Clothes Adult])</f>
        <v>#REF!</v>
      </c>
      <c r="AM196" s="577"/>
      <c r="AN196" s="577"/>
      <c r="AO196" s="577"/>
      <c r="AP196" s="577">
        <f>IF(Table_NFI[[#This Row],[Winter Clothes Adult]]+Table_NFI[[#This Row],[Winter Clothes Children]]+Table_NFI[[#This Row],[Winter Items Other]]+Table_NFI[[#This Row],[Winter Blanket]]&gt;0,1,0)</f>
        <v>1</v>
      </c>
      <c r="AQ196" s="577"/>
      <c r="AR196" s="577"/>
      <c r="AS196" s="577"/>
      <c r="AT196" s="220" t="str">
        <f>IFERROR(VLOOKUP(Table_NFI[[#This Row],[Location]],CL,2,0),"")</f>
        <v>MMR001CMP230</v>
      </c>
      <c r="AU196" s="197" t="s">
        <v>1656</v>
      </c>
    </row>
    <row r="197" spans="2:47" hidden="1" x14ac:dyDescent="0.3">
      <c r="B197" s="575">
        <v>43125</v>
      </c>
      <c r="C197" s="575" t="str">
        <f>MONTH(Table_NFI[[#This Row],[Distribution Date]]) &amp; "/" &amp; YEAR(Table_NFI[[#This Row],[Distribution Date]])</f>
        <v>1/2018</v>
      </c>
      <c r="D197" s="213" t="s">
        <v>1474</v>
      </c>
      <c r="E197" s="213"/>
      <c r="F197" s="213" t="s">
        <v>506</v>
      </c>
      <c r="G197" s="235" t="s">
        <v>297</v>
      </c>
      <c r="H197" s="213" t="s">
        <v>1192</v>
      </c>
      <c r="I197" s="197">
        <v>1</v>
      </c>
      <c r="J197" s="576"/>
      <c r="K197" s="576"/>
      <c r="L197" s="576"/>
      <c r="M197" s="576">
        <v>7</v>
      </c>
      <c r="N197" s="576"/>
      <c r="O197" s="576"/>
      <c r="P197" s="576"/>
      <c r="Q197" s="576">
        <v>6</v>
      </c>
      <c r="R197" s="576"/>
      <c r="S197" s="576"/>
      <c r="T197" s="576"/>
      <c r="U197" s="576">
        <v>19</v>
      </c>
      <c r="V197" s="576">
        <v>19</v>
      </c>
      <c r="W197" s="576"/>
      <c r="X197" s="576">
        <v>19</v>
      </c>
      <c r="Y197" s="576"/>
      <c r="Z197" s="576"/>
      <c r="AA197" s="576"/>
      <c r="AB197" s="576"/>
      <c r="AC197" s="577" t="e">
        <f>IF(NFI_Expiration=1,IF(#REF!&lt;VLOOKUP(L$5,NFI,5,0),1,0)*Table_NFI[[#This Row],[NFI Core Kit]],Table_NFI[NFI Core Kit])</f>
        <v>#REF!</v>
      </c>
      <c r="AD197" s="577" t="e">
        <f>IF(NFI_Expiration=1,IF(#REF!&lt;VLOOKUP(M$5,NFI,5,0),1,0)*Table_NFI[[#This Row],[Sanitary Kit]],Table_NFI[Sanitary Kit])</f>
        <v>#REF!</v>
      </c>
      <c r="AE197" s="577" t="e">
        <f>IF(NFI_Expiration=1,IF(#REF!&lt;VLOOKUP(N$5,NFI,5,0),1,0)*Table_NFI[[#This Row],[Mosquito net]],Table_NFI[Mosquito net])</f>
        <v>#REF!</v>
      </c>
      <c r="AF197" s="577" t="e">
        <f>IF(NFI_Expiration=1,IF(#REF!&lt;VLOOKUP(O$5,NFI,5,0),1,0)*Table_NFI[[#This Row],[Tarpaulin]],Table_NFI[[#This Row],[Tarpaulin]])</f>
        <v>#REF!</v>
      </c>
      <c r="AG197" s="577" t="e">
        <f>IF(NFI_Expiration=1,IF(#REF!&lt;VLOOKUP(P$5,NFI,5,0),1,0)*Table_NFI[[#This Row],[Blanket]],Table_NFI[[#This Row],[Blanket]])</f>
        <v>#REF!</v>
      </c>
      <c r="AH197" s="577" t="e">
        <f>IF(NFI_Expiration=1,IF(#REF!&lt;VLOOKUP(Q$5,NFI,5,0),1,0)*Table_NFI[[#This Row],[Kitchen Set]],Table_NFI[Kitchen Set])</f>
        <v>#REF!</v>
      </c>
      <c r="AI197" s="577" t="e">
        <f>IF(NFI_Expiration=1,IF(#REF!&lt;VLOOKUP(R$5,NFI,5,0),1,0)*Table_NFI[[#This Row],[Clothes Kit]],Table_NFI[Clothes Kit])</f>
        <v>#REF!</v>
      </c>
      <c r="AJ197" s="577" t="e">
        <f>IF(NFI_Expiration=1,IF(#REF!&lt;VLOOKUP(S$5,NFI,5,0),1,0)*Table_NFI[[#This Row],[Plastic Bucket]],Table_NFI[Plastic Bucket])</f>
        <v>#REF!</v>
      </c>
      <c r="AK197" s="577" t="e">
        <f>IF(NFI_Expiration=1,IF(#REF!&lt;VLOOKUP(T$5,NFI,5,0),1,0)*Table_NFI[[#This Row],[Plastic Mat]],Table_NFI[Plastic Mat])*IF(Table_NFI[[#This Row],[Distribution Date]]&gt;"2014-04-01",1,2.5)</f>
        <v>#REF!</v>
      </c>
      <c r="AL197" s="577" t="e">
        <f>IF(NFI_Expiration=1,IF(#REF!&lt;VLOOKUP(U$5,NFI,5,0),1,0)*Table_NFI[[#This Row],[Winter Clothes Adult]],Table_NFI[Winter Clothes Adult])</f>
        <v>#REF!</v>
      </c>
      <c r="AM197" s="577"/>
      <c r="AN197" s="577"/>
      <c r="AO197" s="577"/>
      <c r="AP197" s="577">
        <f>IF(Table_NFI[[#This Row],[Winter Clothes Adult]]+Table_NFI[[#This Row],[Winter Clothes Children]]+Table_NFI[[#This Row],[Winter Items Other]]+Table_NFI[[#This Row],[Winter Blanket]]&gt;0,1,0)</f>
        <v>1</v>
      </c>
      <c r="AQ197" s="577"/>
      <c r="AR197" s="577"/>
      <c r="AS197" s="577"/>
      <c r="AT197" s="220" t="str">
        <f>IFERROR(VLOOKUP(Table_NFI[[#This Row],[Location]],CL,2,0),"")</f>
        <v>MMR015CMP232</v>
      </c>
      <c r="AU197" s="197"/>
    </row>
    <row r="198" spans="2:47" hidden="1" x14ac:dyDescent="0.3">
      <c r="B198" s="575">
        <v>43139</v>
      </c>
      <c r="C198" s="575" t="str">
        <f>MONTH(Table_NFI[[#This Row],[Distribution Date]]) &amp; "/" &amp; YEAR(Table_NFI[[#This Row],[Distribution Date]])</f>
        <v>2/2018</v>
      </c>
      <c r="D198" s="213" t="s">
        <v>1474</v>
      </c>
      <c r="E198" s="213"/>
      <c r="F198" s="213" t="s">
        <v>506</v>
      </c>
      <c r="G198" s="235" t="s">
        <v>297</v>
      </c>
      <c r="H198" s="213" t="s">
        <v>759</v>
      </c>
      <c r="I198" s="197">
        <v>18</v>
      </c>
      <c r="J198" s="576"/>
      <c r="K198" s="576"/>
      <c r="L198" s="576"/>
      <c r="M198" s="576"/>
      <c r="N198" s="576"/>
      <c r="O198" s="576"/>
      <c r="P198" s="576"/>
      <c r="Q198" s="576"/>
      <c r="R198" s="576"/>
      <c r="S198" s="576"/>
      <c r="T198" s="576"/>
      <c r="U198" s="576"/>
      <c r="V198" s="576"/>
      <c r="W198" s="576"/>
      <c r="X198" s="576"/>
      <c r="Y198" s="576"/>
      <c r="Z198" s="576"/>
      <c r="AA198" s="576"/>
      <c r="AB198" s="576"/>
      <c r="AC198" s="577" t="e">
        <f>IF(NFI_Expiration=1,IF(#REF!&lt;VLOOKUP(L$5,NFI,5,0),1,0)*Table_NFI[[#This Row],[NFI Core Kit]],Table_NFI[NFI Core Kit])</f>
        <v>#REF!</v>
      </c>
      <c r="AD198" s="577" t="e">
        <f>IF(NFI_Expiration=1,IF(#REF!&lt;VLOOKUP(M$5,NFI,5,0),1,0)*Table_NFI[[#This Row],[Sanitary Kit]],Table_NFI[Sanitary Kit])</f>
        <v>#REF!</v>
      </c>
      <c r="AE198" s="577" t="e">
        <f>IF(NFI_Expiration=1,IF(#REF!&lt;VLOOKUP(N$5,NFI,5,0),1,0)*Table_NFI[[#This Row],[Mosquito net]],Table_NFI[Mosquito net])</f>
        <v>#REF!</v>
      </c>
      <c r="AF198" s="577" t="e">
        <f>IF(NFI_Expiration=1,IF(#REF!&lt;VLOOKUP(O$5,NFI,5,0),1,0)*Table_NFI[[#This Row],[Tarpaulin]],Table_NFI[[#This Row],[Tarpaulin]])</f>
        <v>#REF!</v>
      </c>
      <c r="AG198" s="577" t="e">
        <f>IF(NFI_Expiration=1,IF(#REF!&lt;VLOOKUP(P$5,NFI,5,0),1,0)*Table_NFI[[#This Row],[Blanket]],Table_NFI[[#This Row],[Blanket]])</f>
        <v>#REF!</v>
      </c>
      <c r="AH198" s="577" t="e">
        <f>IF(NFI_Expiration=1,IF(#REF!&lt;VLOOKUP(Q$5,NFI,5,0),1,0)*Table_NFI[[#This Row],[Kitchen Set]],Table_NFI[Kitchen Set])</f>
        <v>#REF!</v>
      </c>
      <c r="AI198" s="577" t="e">
        <f>IF(NFI_Expiration=1,IF(#REF!&lt;VLOOKUP(R$5,NFI,5,0),1,0)*Table_NFI[[#This Row],[Clothes Kit]],Table_NFI[Clothes Kit])</f>
        <v>#REF!</v>
      </c>
      <c r="AJ198" s="577" t="e">
        <f>IF(NFI_Expiration=1,IF(#REF!&lt;VLOOKUP(S$5,NFI,5,0),1,0)*Table_NFI[[#This Row],[Plastic Bucket]],Table_NFI[Plastic Bucket])</f>
        <v>#REF!</v>
      </c>
      <c r="AK198" s="577" t="e">
        <f>IF(NFI_Expiration=1,IF(#REF!&lt;VLOOKUP(T$5,NFI,5,0),1,0)*Table_NFI[[#This Row],[Plastic Mat]],Table_NFI[Plastic Mat])*IF(Table_NFI[[#This Row],[Distribution Date]]&gt;"2014-04-01",1,2.5)</f>
        <v>#REF!</v>
      </c>
      <c r="AL198" s="577" t="e">
        <f>IF(NFI_Expiration=1,IF(#REF!&lt;VLOOKUP(U$5,NFI,5,0),1,0)*Table_NFI[[#This Row],[Winter Clothes Adult]],Table_NFI[Winter Clothes Adult])</f>
        <v>#REF!</v>
      </c>
      <c r="AM198" s="577"/>
      <c r="AN198" s="577"/>
      <c r="AO198" s="577"/>
      <c r="AP198" s="577">
        <f>IF(Table_NFI[[#This Row],[Winter Clothes Adult]]+Table_NFI[[#This Row],[Winter Clothes Children]]+Table_NFI[[#This Row],[Winter Items Other]]+Table_NFI[[#This Row],[Winter Blanket]]&gt;0,1,0)</f>
        <v>0</v>
      </c>
      <c r="AQ198" s="577"/>
      <c r="AR198" s="577"/>
      <c r="AS198" s="577"/>
      <c r="AT198" s="220" t="str">
        <f>IFERROR(VLOOKUP(Table_NFI[[#This Row],[Location]],CL,2,0),"")</f>
        <v>MMR015CMP014</v>
      </c>
      <c r="AU198" s="197" t="s">
        <v>1657</v>
      </c>
    </row>
    <row r="199" spans="2:47" hidden="1" x14ac:dyDescent="0.3">
      <c r="B199" s="575">
        <v>43143</v>
      </c>
      <c r="C199" s="575" t="str">
        <f>MONTH(Table_NFI[[#This Row],[Distribution Date]]) &amp; "/" &amp; YEAR(Table_NFI[[#This Row],[Distribution Date]])</f>
        <v>2/2018</v>
      </c>
      <c r="D199" s="213" t="s">
        <v>1474</v>
      </c>
      <c r="E199" s="213"/>
      <c r="F199" s="213" t="s">
        <v>378</v>
      </c>
      <c r="G199" s="235" t="s">
        <v>151</v>
      </c>
      <c r="H199" s="213" t="s">
        <v>154</v>
      </c>
      <c r="I199" s="197"/>
      <c r="J199" s="576">
        <v>8</v>
      </c>
      <c r="K199" s="576"/>
      <c r="L199" s="576"/>
      <c r="M199" s="576"/>
      <c r="N199" s="576"/>
      <c r="O199" s="576"/>
      <c r="P199" s="576"/>
      <c r="Q199" s="576">
        <v>8</v>
      </c>
      <c r="R199" s="576"/>
      <c r="S199" s="576"/>
      <c r="T199" s="576"/>
      <c r="U199" s="576">
        <v>8</v>
      </c>
      <c r="V199" s="576">
        <v>8</v>
      </c>
      <c r="W199" s="576">
        <v>8</v>
      </c>
      <c r="X199" s="576"/>
      <c r="Y199" s="576"/>
      <c r="Z199" s="576"/>
      <c r="AA199" s="576"/>
      <c r="AB199" s="576"/>
      <c r="AC199" s="577" t="e">
        <f>IF(NFI_Expiration=1,IF(#REF!&lt;VLOOKUP(L$5,NFI,5,0),1,0)*Table_NFI[[#This Row],[NFI Core Kit]],Table_NFI[NFI Core Kit])</f>
        <v>#REF!</v>
      </c>
      <c r="AD199" s="577" t="e">
        <f>IF(NFI_Expiration=1,IF(#REF!&lt;VLOOKUP(M$5,NFI,5,0),1,0)*Table_NFI[[#This Row],[Sanitary Kit]],Table_NFI[Sanitary Kit])</f>
        <v>#REF!</v>
      </c>
      <c r="AE199" s="577" t="e">
        <f>IF(NFI_Expiration=1,IF(#REF!&lt;VLOOKUP(N$5,NFI,5,0),1,0)*Table_NFI[[#This Row],[Mosquito net]],Table_NFI[Mosquito net])</f>
        <v>#REF!</v>
      </c>
      <c r="AF199" s="577" t="e">
        <f>IF(NFI_Expiration=1,IF(#REF!&lt;VLOOKUP(O$5,NFI,5,0),1,0)*Table_NFI[[#This Row],[Tarpaulin]],Table_NFI[[#This Row],[Tarpaulin]])</f>
        <v>#REF!</v>
      </c>
      <c r="AG199" s="577" t="e">
        <f>IF(NFI_Expiration=1,IF(#REF!&lt;VLOOKUP(P$5,NFI,5,0),1,0)*Table_NFI[[#This Row],[Blanket]],Table_NFI[[#This Row],[Blanket]])</f>
        <v>#REF!</v>
      </c>
      <c r="AH199" s="577" t="e">
        <f>IF(NFI_Expiration=1,IF(#REF!&lt;VLOOKUP(Q$5,NFI,5,0),1,0)*Table_NFI[[#This Row],[Kitchen Set]],Table_NFI[Kitchen Set])</f>
        <v>#REF!</v>
      </c>
      <c r="AI199" s="577" t="e">
        <f>IF(NFI_Expiration=1,IF(#REF!&lt;VLOOKUP(R$5,NFI,5,0),1,0)*Table_NFI[[#This Row],[Clothes Kit]],Table_NFI[Clothes Kit])</f>
        <v>#REF!</v>
      </c>
      <c r="AJ199" s="577" t="e">
        <f>IF(NFI_Expiration=1,IF(#REF!&lt;VLOOKUP(S$5,NFI,5,0),1,0)*Table_NFI[[#This Row],[Plastic Bucket]],Table_NFI[Plastic Bucket])</f>
        <v>#REF!</v>
      </c>
      <c r="AK199" s="577" t="e">
        <f>IF(NFI_Expiration=1,IF(#REF!&lt;VLOOKUP(T$5,NFI,5,0),1,0)*Table_NFI[[#This Row],[Plastic Mat]],Table_NFI[Plastic Mat])*IF(Table_NFI[[#This Row],[Distribution Date]]&gt;"2014-04-01",1,2.5)</f>
        <v>#REF!</v>
      </c>
      <c r="AL199" s="577" t="e">
        <f>IF(NFI_Expiration=1,IF(#REF!&lt;VLOOKUP(U$5,NFI,5,0),1,0)*Table_NFI[[#This Row],[Winter Clothes Adult]],Table_NFI[Winter Clothes Adult])</f>
        <v>#REF!</v>
      </c>
      <c r="AM199" s="577"/>
      <c r="AN199" s="577"/>
      <c r="AO199" s="577"/>
      <c r="AP199" s="577">
        <f>IF(Table_NFI[[#This Row],[Winter Clothes Adult]]+Table_NFI[[#This Row],[Winter Clothes Children]]+Table_NFI[[#This Row],[Winter Items Other]]+Table_NFI[[#This Row],[Winter Blanket]]&gt;0,1,0)</f>
        <v>1</v>
      </c>
      <c r="AQ199" s="577"/>
      <c r="AR199" s="577"/>
      <c r="AS199" s="577"/>
      <c r="AT199" s="220" t="str">
        <f>IFERROR(VLOOKUP(Table_NFI[[#This Row],[Location]],CL,2,0),"")</f>
        <v>MMR001CMP132</v>
      </c>
      <c r="AU199" s="197"/>
    </row>
    <row r="200" spans="2:47" hidden="1" x14ac:dyDescent="0.3">
      <c r="B200" s="575">
        <v>43143</v>
      </c>
      <c r="C200" s="575" t="str">
        <f>MONTH(Table_NFI[[#This Row],[Distribution Date]]) &amp; "/" &amp; YEAR(Table_NFI[[#This Row],[Distribution Date]])</f>
        <v>2/2018</v>
      </c>
      <c r="D200" s="213" t="s">
        <v>1474</v>
      </c>
      <c r="E200" s="213"/>
      <c r="F200" s="213" t="s">
        <v>378</v>
      </c>
      <c r="G200" s="235" t="s">
        <v>151</v>
      </c>
      <c r="H200" s="213" t="s">
        <v>911</v>
      </c>
      <c r="I200" s="197">
        <v>1</v>
      </c>
      <c r="J200" s="576"/>
      <c r="K200" s="576"/>
      <c r="L200" s="576"/>
      <c r="M200" s="576"/>
      <c r="N200" s="576"/>
      <c r="O200" s="576"/>
      <c r="P200" s="576"/>
      <c r="Q200" s="576"/>
      <c r="R200" s="576"/>
      <c r="S200" s="576"/>
      <c r="T200" s="576"/>
      <c r="U200" s="576"/>
      <c r="V200" s="576"/>
      <c r="W200" s="576"/>
      <c r="X200" s="576"/>
      <c r="Y200" s="576"/>
      <c r="Z200" s="576"/>
      <c r="AA200" s="576"/>
      <c r="AB200" s="576"/>
      <c r="AC200" s="577" t="e">
        <f>IF(NFI_Expiration=1,IF(#REF!&lt;VLOOKUP(L$5,NFI,5,0),1,0)*Table_NFI[[#This Row],[NFI Core Kit]],Table_NFI[NFI Core Kit])</f>
        <v>#REF!</v>
      </c>
      <c r="AD200" s="577" t="e">
        <f>IF(NFI_Expiration=1,IF(#REF!&lt;VLOOKUP(M$5,NFI,5,0),1,0)*Table_NFI[[#This Row],[Sanitary Kit]],Table_NFI[Sanitary Kit])</f>
        <v>#REF!</v>
      </c>
      <c r="AE200" s="577" t="e">
        <f>IF(NFI_Expiration=1,IF(#REF!&lt;VLOOKUP(N$5,NFI,5,0),1,0)*Table_NFI[[#This Row],[Mosquito net]],Table_NFI[Mosquito net])</f>
        <v>#REF!</v>
      </c>
      <c r="AF200" s="577" t="e">
        <f>IF(NFI_Expiration=1,IF(#REF!&lt;VLOOKUP(O$5,NFI,5,0),1,0)*Table_NFI[[#This Row],[Tarpaulin]],Table_NFI[[#This Row],[Tarpaulin]])</f>
        <v>#REF!</v>
      </c>
      <c r="AG200" s="577" t="e">
        <f>IF(NFI_Expiration=1,IF(#REF!&lt;VLOOKUP(P$5,NFI,5,0),1,0)*Table_NFI[[#This Row],[Blanket]],Table_NFI[[#This Row],[Blanket]])</f>
        <v>#REF!</v>
      </c>
      <c r="AH200" s="577" t="e">
        <f>IF(NFI_Expiration=1,IF(#REF!&lt;VLOOKUP(Q$5,NFI,5,0),1,0)*Table_NFI[[#This Row],[Kitchen Set]],Table_NFI[Kitchen Set])</f>
        <v>#REF!</v>
      </c>
      <c r="AI200" s="577" t="e">
        <f>IF(NFI_Expiration=1,IF(#REF!&lt;VLOOKUP(R$5,NFI,5,0),1,0)*Table_NFI[[#This Row],[Clothes Kit]],Table_NFI[Clothes Kit])</f>
        <v>#REF!</v>
      </c>
      <c r="AJ200" s="577" t="e">
        <f>IF(NFI_Expiration=1,IF(#REF!&lt;VLOOKUP(S$5,NFI,5,0),1,0)*Table_NFI[[#This Row],[Plastic Bucket]],Table_NFI[Plastic Bucket])</f>
        <v>#REF!</v>
      </c>
      <c r="AK200" s="577" t="e">
        <f>IF(NFI_Expiration=1,IF(#REF!&lt;VLOOKUP(T$5,NFI,5,0),1,0)*Table_NFI[[#This Row],[Plastic Mat]],Table_NFI[Plastic Mat])*IF(Table_NFI[[#This Row],[Distribution Date]]&gt;"2014-04-01",1,2.5)</f>
        <v>#REF!</v>
      </c>
      <c r="AL200" s="577" t="e">
        <f>IF(NFI_Expiration=1,IF(#REF!&lt;VLOOKUP(U$5,NFI,5,0),1,0)*Table_NFI[[#This Row],[Winter Clothes Adult]],Table_NFI[Winter Clothes Adult])</f>
        <v>#REF!</v>
      </c>
      <c r="AM200" s="577"/>
      <c r="AN200" s="577"/>
      <c r="AO200" s="577"/>
      <c r="AP200" s="577">
        <f>IF(Table_NFI[[#This Row],[Winter Clothes Adult]]+Table_NFI[[#This Row],[Winter Clothes Children]]+Table_NFI[[#This Row],[Winter Items Other]]+Table_NFI[[#This Row],[Winter Blanket]]&gt;0,1,0)</f>
        <v>0</v>
      </c>
      <c r="AQ200" s="577"/>
      <c r="AR200" s="577"/>
      <c r="AS200" s="577"/>
      <c r="AT200" s="220" t="str">
        <f>IFERROR(VLOOKUP(Table_NFI[[#This Row],[Location]],CL,2,0),"")</f>
        <v>MMR001CMP228</v>
      </c>
      <c r="AU200" s="197"/>
    </row>
    <row r="201" spans="2:47" hidden="1" x14ac:dyDescent="0.3">
      <c r="B201" s="575">
        <v>43143</v>
      </c>
      <c r="C201" s="575" t="str">
        <f>MONTH(Table_NFI[[#This Row],[Distribution Date]]) &amp; "/" &amp; YEAR(Table_NFI[[#This Row],[Distribution Date]])</f>
        <v>2/2018</v>
      </c>
      <c r="D201" s="213" t="s">
        <v>1474</v>
      </c>
      <c r="E201" s="213"/>
      <c r="F201" s="213" t="s">
        <v>378</v>
      </c>
      <c r="G201" s="235" t="s">
        <v>151</v>
      </c>
      <c r="H201" s="213" t="s">
        <v>938</v>
      </c>
      <c r="I201" s="197">
        <v>1</v>
      </c>
      <c r="J201" s="576"/>
      <c r="K201" s="576"/>
      <c r="L201" s="576"/>
      <c r="M201" s="576"/>
      <c r="N201" s="576"/>
      <c r="O201" s="576"/>
      <c r="P201" s="576"/>
      <c r="Q201" s="576"/>
      <c r="R201" s="576"/>
      <c r="S201" s="576"/>
      <c r="T201" s="576"/>
      <c r="U201" s="576"/>
      <c r="V201" s="576"/>
      <c r="W201" s="576"/>
      <c r="X201" s="576"/>
      <c r="Y201" s="576"/>
      <c r="Z201" s="576"/>
      <c r="AA201" s="576"/>
      <c r="AB201" s="576"/>
      <c r="AC201" s="577" t="e">
        <f>IF(NFI_Expiration=1,IF(#REF!&lt;VLOOKUP(L$5,NFI,5,0),1,0)*Table_NFI[[#This Row],[NFI Core Kit]],Table_NFI[NFI Core Kit])</f>
        <v>#REF!</v>
      </c>
      <c r="AD201" s="577" t="e">
        <f>IF(NFI_Expiration=1,IF(#REF!&lt;VLOOKUP(M$5,NFI,5,0),1,0)*Table_NFI[[#This Row],[Sanitary Kit]],Table_NFI[Sanitary Kit])</f>
        <v>#REF!</v>
      </c>
      <c r="AE201" s="577" t="e">
        <f>IF(NFI_Expiration=1,IF(#REF!&lt;VLOOKUP(N$5,NFI,5,0),1,0)*Table_NFI[[#This Row],[Mosquito net]],Table_NFI[Mosquito net])</f>
        <v>#REF!</v>
      </c>
      <c r="AF201" s="577" t="e">
        <f>IF(NFI_Expiration=1,IF(#REF!&lt;VLOOKUP(O$5,NFI,5,0),1,0)*Table_NFI[[#This Row],[Tarpaulin]],Table_NFI[[#This Row],[Tarpaulin]])</f>
        <v>#REF!</v>
      </c>
      <c r="AG201" s="577" t="e">
        <f>IF(NFI_Expiration=1,IF(#REF!&lt;VLOOKUP(P$5,NFI,5,0),1,0)*Table_NFI[[#This Row],[Blanket]],Table_NFI[[#This Row],[Blanket]])</f>
        <v>#REF!</v>
      </c>
      <c r="AH201" s="577" t="e">
        <f>IF(NFI_Expiration=1,IF(#REF!&lt;VLOOKUP(Q$5,NFI,5,0),1,0)*Table_NFI[[#This Row],[Kitchen Set]],Table_NFI[Kitchen Set])</f>
        <v>#REF!</v>
      </c>
      <c r="AI201" s="577" t="e">
        <f>IF(NFI_Expiration=1,IF(#REF!&lt;VLOOKUP(R$5,NFI,5,0),1,0)*Table_NFI[[#This Row],[Clothes Kit]],Table_NFI[Clothes Kit])</f>
        <v>#REF!</v>
      </c>
      <c r="AJ201" s="577" t="e">
        <f>IF(NFI_Expiration=1,IF(#REF!&lt;VLOOKUP(S$5,NFI,5,0),1,0)*Table_NFI[[#This Row],[Plastic Bucket]],Table_NFI[Plastic Bucket])</f>
        <v>#REF!</v>
      </c>
      <c r="AK201" s="577" t="e">
        <f>IF(NFI_Expiration=1,IF(#REF!&lt;VLOOKUP(T$5,NFI,5,0),1,0)*Table_NFI[[#This Row],[Plastic Mat]],Table_NFI[Plastic Mat])*IF(Table_NFI[[#This Row],[Distribution Date]]&gt;"2014-04-01",1,2.5)</f>
        <v>#REF!</v>
      </c>
      <c r="AL201" s="577" t="e">
        <f>IF(NFI_Expiration=1,IF(#REF!&lt;VLOOKUP(U$5,NFI,5,0),1,0)*Table_NFI[[#This Row],[Winter Clothes Adult]],Table_NFI[Winter Clothes Adult])</f>
        <v>#REF!</v>
      </c>
      <c r="AM201" s="577"/>
      <c r="AN201" s="577"/>
      <c r="AO201" s="577"/>
      <c r="AP201" s="577">
        <f>IF(Table_NFI[[#This Row],[Winter Clothes Adult]]+Table_NFI[[#This Row],[Winter Clothes Children]]+Table_NFI[[#This Row],[Winter Items Other]]+Table_NFI[[#This Row],[Winter Blanket]]&gt;0,1,0)</f>
        <v>0</v>
      </c>
      <c r="AQ201" s="577"/>
      <c r="AR201" s="577"/>
      <c r="AS201" s="577"/>
      <c r="AT201" s="220" t="str">
        <f>IFERROR(VLOOKUP(Table_NFI[[#This Row],[Location]],CL,2,0),"")</f>
        <v>MMR001CMP230</v>
      </c>
      <c r="AU201" s="197"/>
    </row>
    <row r="202" spans="2:47" hidden="1" x14ac:dyDescent="0.3">
      <c r="B202" s="575">
        <v>43145</v>
      </c>
      <c r="C202" s="575" t="str">
        <f>MONTH(Table_NFI[[#This Row],[Distribution Date]]) &amp; "/" &amp; YEAR(Table_NFI[[#This Row],[Distribution Date]])</f>
        <v>2/2018</v>
      </c>
      <c r="D202" s="213" t="s">
        <v>1474</v>
      </c>
      <c r="E202" s="213"/>
      <c r="F202" s="213" t="s">
        <v>506</v>
      </c>
      <c r="G202" s="235" t="s">
        <v>297</v>
      </c>
      <c r="H202" s="213" t="s">
        <v>1281</v>
      </c>
      <c r="I202" s="197">
        <v>1</v>
      </c>
      <c r="J202" s="576"/>
      <c r="K202" s="576"/>
      <c r="L202" s="576"/>
      <c r="M202" s="576"/>
      <c r="N202" s="576"/>
      <c r="O202" s="576"/>
      <c r="P202" s="576"/>
      <c r="Q202" s="576"/>
      <c r="R202" s="576"/>
      <c r="S202" s="576"/>
      <c r="T202" s="576"/>
      <c r="U202" s="576"/>
      <c r="V202" s="576"/>
      <c r="W202" s="576"/>
      <c r="X202" s="576"/>
      <c r="Y202" s="576"/>
      <c r="Z202" s="576"/>
      <c r="AA202" s="576"/>
      <c r="AB202" s="576"/>
      <c r="AC202" s="577" t="e">
        <f>IF(NFI_Expiration=1,IF(#REF!&lt;VLOOKUP(L$5,NFI,5,0),1,0)*Table_NFI[[#This Row],[NFI Core Kit]],Table_NFI[NFI Core Kit])</f>
        <v>#REF!</v>
      </c>
      <c r="AD202" s="577" t="e">
        <f>IF(NFI_Expiration=1,IF(#REF!&lt;VLOOKUP(M$5,NFI,5,0),1,0)*Table_NFI[[#This Row],[Sanitary Kit]],Table_NFI[Sanitary Kit])</f>
        <v>#REF!</v>
      </c>
      <c r="AE202" s="577" t="e">
        <f>IF(NFI_Expiration=1,IF(#REF!&lt;VLOOKUP(N$5,NFI,5,0),1,0)*Table_NFI[[#This Row],[Mosquito net]],Table_NFI[Mosquito net])</f>
        <v>#REF!</v>
      </c>
      <c r="AF202" s="577" t="e">
        <f>IF(NFI_Expiration=1,IF(#REF!&lt;VLOOKUP(O$5,NFI,5,0),1,0)*Table_NFI[[#This Row],[Tarpaulin]],Table_NFI[[#This Row],[Tarpaulin]])</f>
        <v>#REF!</v>
      </c>
      <c r="AG202" s="577" t="e">
        <f>IF(NFI_Expiration=1,IF(#REF!&lt;VLOOKUP(P$5,NFI,5,0),1,0)*Table_NFI[[#This Row],[Blanket]],Table_NFI[[#This Row],[Blanket]])</f>
        <v>#REF!</v>
      </c>
      <c r="AH202" s="577" t="e">
        <f>IF(NFI_Expiration=1,IF(#REF!&lt;VLOOKUP(Q$5,NFI,5,0),1,0)*Table_NFI[[#This Row],[Kitchen Set]],Table_NFI[Kitchen Set])</f>
        <v>#REF!</v>
      </c>
      <c r="AI202" s="577" t="e">
        <f>IF(NFI_Expiration=1,IF(#REF!&lt;VLOOKUP(R$5,NFI,5,0),1,0)*Table_NFI[[#This Row],[Clothes Kit]],Table_NFI[Clothes Kit])</f>
        <v>#REF!</v>
      </c>
      <c r="AJ202" s="577" t="e">
        <f>IF(NFI_Expiration=1,IF(#REF!&lt;VLOOKUP(S$5,NFI,5,0),1,0)*Table_NFI[[#This Row],[Plastic Bucket]],Table_NFI[Plastic Bucket])</f>
        <v>#REF!</v>
      </c>
      <c r="AK202" s="577" t="e">
        <f>IF(NFI_Expiration=1,IF(#REF!&lt;VLOOKUP(T$5,NFI,5,0),1,0)*Table_NFI[[#This Row],[Plastic Mat]],Table_NFI[Plastic Mat])*IF(Table_NFI[[#This Row],[Distribution Date]]&gt;"2014-04-01",1,2.5)</f>
        <v>#REF!</v>
      </c>
      <c r="AL202" s="577" t="e">
        <f>IF(NFI_Expiration=1,IF(#REF!&lt;VLOOKUP(U$5,NFI,5,0),1,0)*Table_NFI[[#This Row],[Winter Clothes Adult]],Table_NFI[Winter Clothes Adult])</f>
        <v>#REF!</v>
      </c>
      <c r="AM202" s="577"/>
      <c r="AN202" s="577"/>
      <c r="AO202" s="577"/>
      <c r="AP202" s="577">
        <f>IF(Table_NFI[[#This Row],[Winter Clothes Adult]]+Table_NFI[[#This Row],[Winter Clothes Children]]+Table_NFI[[#This Row],[Winter Items Other]]+Table_NFI[[#This Row],[Winter Blanket]]&gt;0,1,0)</f>
        <v>0</v>
      </c>
      <c r="AQ202" s="577"/>
      <c r="AR202" s="577"/>
      <c r="AS202" s="577"/>
      <c r="AT202" s="220" t="str">
        <f>IFERROR(VLOOKUP(Table_NFI[[#This Row],[Location]],CL,2,0),"")</f>
        <v>MMR015CMP248</v>
      </c>
      <c r="AU202" s="197"/>
    </row>
    <row r="203" spans="2:47" hidden="1" x14ac:dyDescent="0.3">
      <c r="B203" s="575">
        <v>43145</v>
      </c>
      <c r="C203" s="575" t="str">
        <f>MONTH(Table_NFI[[#This Row],[Distribution Date]]) &amp; "/" &amp; YEAR(Table_NFI[[#This Row],[Distribution Date]])</f>
        <v>2/2018</v>
      </c>
      <c r="D203" s="213" t="s">
        <v>1474</v>
      </c>
      <c r="E203" s="213"/>
      <c r="F203" s="213" t="s">
        <v>506</v>
      </c>
      <c r="G203" s="235" t="s">
        <v>297</v>
      </c>
      <c r="H203" s="213" t="s">
        <v>1192</v>
      </c>
      <c r="I203" s="197">
        <v>1</v>
      </c>
      <c r="J203" s="576"/>
      <c r="K203" s="576"/>
      <c r="L203" s="576"/>
      <c r="M203" s="576"/>
      <c r="N203" s="576"/>
      <c r="O203" s="576"/>
      <c r="P203" s="576"/>
      <c r="Q203" s="576"/>
      <c r="R203" s="576"/>
      <c r="S203" s="576"/>
      <c r="T203" s="576"/>
      <c r="U203" s="576"/>
      <c r="V203" s="576"/>
      <c r="W203" s="576"/>
      <c r="X203" s="576"/>
      <c r="Y203" s="576"/>
      <c r="Z203" s="576"/>
      <c r="AA203" s="576"/>
      <c r="AB203" s="576"/>
      <c r="AC203" s="577" t="e">
        <f>IF(NFI_Expiration=1,IF(#REF!&lt;VLOOKUP(L$5,NFI,5,0),1,0)*Table_NFI[[#This Row],[NFI Core Kit]],Table_NFI[NFI Core Kit])</f>
        <v>#REF!</v>
      </c>
      <c r="AD203" s="577" t="e">
        <f>IF(NFI_Expiration=1,IF(#REF!&lt;VLOOKUP(M$5,NFI,5,0),1,0)*Table_NFI[[#This Row],[Sanitary Kit]],Table_NFI[Sanitary Kit])</f>
        <v>#REF!</v>
      </c>
      <c r="AE203" s="577" t="e">
        <f>IF(NFI_Expiration=1,IF(#REF!&lt;VLOOKUP(N$5,NFI,5,0),1,0)*Table_NFI[[#This Row],[Mosquito net]],Table_NFI[Mosquito net])</f>
        <v>#REF!</v>
      </c>
      <c r="AF203" s="577" t="e">
        <f>IF(NFI_Expiration=1,IF(#REF!&lt;VLOOKUP(O$5,NFI,5,0),1,0)*Table_NFI[[#This Row],[Tarpaulin]],Table_NFI[[#This Row],[Tarpaulin]])</f>
        <v>#REF!</v>
      </c>
      <c r="AG203" s="577" t="e">
        <f>IF(NFI_Expiration=1,IF(#REF!&lt;VLOOKUP(P$5,NFI,5,0),1,0)*Table_NFI[[#This Row],[Blanket]],Table_NFI[[#This Row],[Blanket]])</f>
        <v>#REF!</v>
      </c>
      <c r="AH203" s="577" t="e">
        <f>IF(NFI_Expiration=1,IF(#REF!&lt;VLOOKUP(Q$5,NFI,5,0),1,0)*Table_NFI[[#This Row],[Kitchen Set]],Table_NFI[Kitchen Set])</f>
        <v>#REF!</v>
      </c>
      <c r="AI203" s="577" t="e">
        <f>IF(NFI_Expiration=1,IF(#REF!&lt;VLOOKUP(R$5,NFI,5,0),1,0)*Table_NFI[[#This Row],[Clothes Kit]],Table_NFI[Clothes Kit])</f>
        <v>#REF!</v>
      </c>
      <c r="AJ203" s="577" t="e">
        <f>IF(NFI_Expiration=1,IF(#REF!&lt;VLOOKUP(S$5,NFI,5,0),1,0)*Table_NFI[[#This Row],[Plastic Bucket]],Table_NFI[Plastic Bucket])</f>
        <v>#REF!</v>
      </c>
      <c r="AK203" s="577" t="e">
        <f>IF(NFI_Expiration=1,IF(#REF!&lt;VLOOKUP(T$5,NFI,5,0),1,0)*Table_NFI[[#This Row],[Plastic Mat]],Table_NFI[Plastic Mat])*IF(Table_NFI[[#This Row],[Distribution Date]]&gt;"2014-04-01",1,2.5)</f>
        <v>#REF!</v>
      </c>
      <c r="AL203" s="577" t="e">
        <f>IF(NFI_Expiration=1,IF(#REF!&lt;VLOOKUP(U$5,NFI,5,0),1,0)*Table_NFI[[#This Row],[Winter Clothes Adult]],Table_NFI[Winter Clothes Adult])</f>
        <v>#REF!</v>
      </c>
      <c r="AM203" s="577"/>
      <c r="AN203" s="577"/>
      <c r="AO203" s="577"/>
      <c r="AP203" s="577">
        <f>IF(Table_NFI[[#This Row],[Winter Clothes Adult]]+Table_NFI[[#This Row],[Winter Clothes Children]]+Table_NFI[[#This Row],[Winter Items Other]]+Table_NFI[[#This Row],[Winter Blanket]]&gt;0,1,0)</f>
        <v>0</v>
      </c>
      <c r="AQ203" s="577"/>
      <c r="AR203" s="577"/>
      <c r="AS203" s="577"/>
      <c r="AT203" s="220" t="str">
        <f>IFERROR(VLOOKUP(Table_NFI[[#This Row],[Location]],CL,2,0),"")</f>
        <v>MMR015CMP232</v>
      </c>
      <c r="AU203" s="197"/>
    </row>
    <row r="204" spans="2:47" x14ac:dyDescent="0.3">
      <c r="B204" s="575">
        <v>43151</v>
      </c>
      <c r="C204" s="575" t="str">
        <f>MONTH(Table_NFI[[#This Row],[Distribution Date]]) &amp; "/" &amp; YEAR(Table_NFI[[#This Row],[Distribution Date]])</f>
        <v>2/2018</v>
      </c>
      <c r="D204" s="213" t="s">
        <v>1474</v>
      </c>
      <c r="E204" s="213"/>
      <c r="F204" s="213" t="s">
        <v>506</v>
      </c>
      <c r="G204" s="235" t="s">
        <v>1594</v>
      </c>
      <c r="H204" s="213" t="s">
        <v>1131</v>
      </c>
      <c r="I204" s="197"/>
      <c r="J204" s="576">
        <v>2</v>
      </c>
      <c r="K204" s="576"/>
      <c r="L204" s="576"/>
      <c r="M204" s="576"/>
      <c r="N204" s="576">
        <v>2</v>
      </c>
      <c r="O204" s="576"/>
      <c r="P204" s="576">
        <v>2</v>
      </c>
      <c r="Q204" s="576">
        <v>2</v>
      </c>
      <c r="R204" s="576"/>
      <c r="S204" s="576"/>
      <c r="T204" s="576"/>
      <c r="U204" s="576">
        <v>2</v>
      </c>
      <c r="V204" s="576">
        <v>2</v>
      </c>
      <c r="W204" s="576">
        <v>2</v>
      </c>
      <c r="X204" s="576"/>
      <c r="Y204" s="576"/>
      <c r="Z204" s="576"/>
      <c r="AA204" s="576"/>
      <c r="AB204" s="576"/>
      <c r="AC204" s="577" t="e">
        <f>IF(NFI_Expiration=1,IF(#REF!&lt;VLOOKUP(L$5,NFI,5,0),1,0)*Table_NFI[[#This Row],[NFI Core Kit]],Table_NFI[NFI Core Kit])</f>
        <v>#REF!</v>
      </c>
      <c r="AD204" s="577" t="e">
        <f>IF(NFI_Expiration=1,IF(#REF!&lt;VLOOKUP(M$5,NFI,5,0),1,0)*Table_NFI[[#This Row],[Sanitary Kit]],Table_NFI[Sanitary Kit])</f>
        <v>#REF!</v>
      </c>
      <c r="AE204" s="577" t="e">
        <f>IF(NFI_Expiration=1,IF(#REF!&lt;VLOOKUP(N$5,NFI,5,0),1,0)*Table_NFI[[#This Row],[Mosquito net]],Table_NFI[Mosquito net])</f>
        <v>#REF!</v>
      </c>
      <c r="AF204" s="577" t="e">
        <f>IF(NFI_Expiration=1,IF(#REF!&lt;VLOOKUP(O$5,NFI,5,0),1,0)*Table_NFI[[#This Row],[Tarpaulin]],Table_NFI[[#This Row],[Tarpaulin]])</f>
        <v>#REF!</v>
      </c>
      <c r="AG204" s="577" t="e">
        <f>IF(NFI_Expiration=1,IF(#REF!&lt;VLOOKUP(P$5,NFI,5,0),1,0)*Table_NFI[[#This Row],[Blanket]],Table_NFI[[#This Row],[Blanket]])</f>
        <v>#REF!</v>
      </c>
      <c r="AH204" s="577" t="e">
        <f>IF(NFI_Expiration=1,IF(#REF!&lt;VLOOKUP(Q$5,NFI,5,0),1,0)*Table_NFI[[#This Row],[Kitchen Set]],Table_NFI[Kitchen Set])</f>
        <v>#REF!</v>
      </c>
      <c r="AI204" s="577" t="e">
        <f>IF(NFI_Expiration=1,IF(#REF!&lt;VLOOKUP(R$5,NFI,5,0),1,0)*Table_NFI[[#This Row],[Clothes Kit]],Table_NFI[Clothes Kit])</f>
        <v>#REF!</v>
      </c>
      <c r="AJ204" s="577" t="e">
        <f>IF(NFI_Expiration=1,IF(#REF!&lt;VLOOKUP(S$5,NFI,5,0),1,0)*Table_NFI[[#This Row],[Plastic Bucket]],Table_NFI[Plastic Bucket])</f>
        <v>#REF!</v>
      </c>
      <c r="AK204" s="577" t="e">
        <f>IF(NFI_Expiration=1,IF(#REF!&lt;VLOOKUP(T$5,NFI,5,0),1,0)*Table_NFI[[#This Row],[Plastic Mat]],Table_NFI[Plastic Mat])*IF(Table_NFI[[#This Row],[Distribution Date]]&gt;"2014-04-01",1,2.5)</f>
        <v>#REF!</v>
      </c>
      <c r="AL204" s="577" t="e">
        <f>IF(NFI_Expiration=1,IF(#REF!&lt;VLOOKUP(U$5,NFI,5,0),1,0)*Table_NFI[[#This Row],[Winter Clothes Adult]],Table_NFI[Winter Clothes Adult])</f>
        <v>#REF!</v>
      </c>
      <c r="AM204" s="577"/>
      <c r="AN204" s="577"/>
      <c r="AO204" s="577"/>
      <c r="AP204" s="577">
        <f>IF(Table_NFI[[#This Row],[Winter Clothes Adult]]+Table_NFI[[#This Row],[Winter Clothes Children]]+Table_NFI[[#This Row],[Winter Items Other]]+Table_NFI[[#This Row],[Winter Blanket]]&gt;0,1,0)</f>
        <v>1</v>
      </c>
      <c r="AQ204" s="577"/>
      <c r="AR204" s="577"/>
      <c r="AS204" s="577"/>
      <c r="AT204" s="220" t="str">
        <f>IFERROR(VLOOKUP(Table_NFI[[#This Row],[Location]],CL,2,0),"")</f>
        <v>MMR015CMP224</v>
      </c>
      <c r="AU204" s="197"/>
    </row>
    <row r="205" spans="2:47" x14ac:dyDescent="0.3">
      <c r="B205" s="575">
        <v>43152</v>
      </c>
      <c r="C205" s="575" t="str">
        <f>MONTH(Table_NFI[[#This Row],[Distribution Date]]) &amp; "/" &amp; YEAR(Table_NFI[[#This Row],[Distribution Date]])</f>
        <v>2/2018</v>
      </c>
      <c r="D205" s="213" t="s">
        <v>1474</v>
      </c>
      <c r="E205" s="213"/>
      <c r="F205" s="213" t="s">
        <v>506</v>
      </c>
      <c r="G205" s="235" t="s">
        <v>1594</v>
      </c>
      <c r="H205" s="213" t="s">
        <v>1131</v>
      </c>
      <c r="I205" s="197">
        <v>1</v>
      </c>
      <c r="J205" s="576"/>
      <c r="K205" s="576"/>
      <c r="L205" s="576"/>
      <c r="M205" s="576"/>
      <c r="N205" s="576"/>
      <c r="O205" s="576"/>
      <c r="P205" s="576"/>
      <c r="Q205" s="576"/>
      <c r="R205" s="576"/>
      <c r="S205" s="576"/>
      <c r="T205" s="576"/>
      <c r="U205" s="576"/>
      <c r="V205" s="576"/>
      <c r="W205" s="576"/>
      <c r="X205" s="576"/>
      <c r="Y205" s="576"/>
      <c r="Z205" s="576"/>
      <c r="AA205" s="576"/>
      <c r="AB205" s="576"/>
      <c r="AC205" s="577" t="e">
        <f>IF(NFI_Expiration=1,IF(#REF!&lt;VLOOKUP(L$5,NFI,5,0),1,0)*Table_NFI[[#This Row],[NFI Core Kit]],Table_NFI[NFI Core Kit])</f>
        <v>#REF!</v>
      </c>
      <c r="AD205" s="577" t="e">
        <f>IF(NFI_Expiration=1,IF(#REF!&lt;VLOOKUP(M$5,NFI,5,0),1,0)*Table_NFI[[#This Row],[Sanitary Kit]],Table_NFI[Sanitary Kit])</f>
        <v>#REF!</v>
      </c>
      <c r="AE205" s="577" t="e">
        <f>IF(NFI_Expiration=1,IF(#REF!&lt;VLOOKUP(N$5,NFI,5,0),1,0)*Table_NFI[[#This Row],[Mosquito net]],Table_NFI[Mosquito net])</f>
        <v>#REF!</v>
      </c>
      <c r="AF205" s="577" t="e">
        <f>IF(NFI_Expiration=1,IF(#REF!&lt;VLOOKUP(O$5,NFI,5,0),1,0)*Table_NFI[[#This Row],[Tarpaulin]],Table_NFI[[#This Row],[Tarpaulin]])</f>
        <v>#REF!</v>
      </c>
      <c r="AG205" s="577" t="e">
        <f>IF(NFI_Expiration=1,IF(#REF!&lt;VLOOKUP(P$5,NFI,5,0),1,0)*Table_NFI[[#This Row],[Blanket]],Table_NFI[[#This Row],[Blanket]])</f>
        <v>#REF!</v>
      </c>
      <c r="AH205" s="577" t="e">
        <f>IF(NFI_Expiration=1,IF(#REF!&lt;VLOOKUP(Q$5,NFI,5,0),1,0)*Table_NFI[[#This Row],[Kitchen Set]],Table_NFI[Kitchen Set])</f>
        <v>#REF!</v>
      </c>
      <c r="AI205" s="577" t="e">
        <f>IF(NFI_Expiration=1,IF(#REF!&lt;VLOOKUP(R$5,NFI,5,0),1,0)*Table_NFI[[#This Row],[Clothes Kit]],Table_NFI[Clothes Kit])</f>
        <v>#REF!</v>
      </c>
      <c r="AJ205" s="577" t="e">
        <f>IF(NFI_Expiration=1,IF(#REF!&lt;VLOOKUP(S$5,NFI,5,0),1,0)*Table_NFI[[#This Row],[Plastic Bucket]],Table_NFI[Plastic Bucket])</f>
        <v>#REF!</v>
      </c>
      <c r="AK205" s="577" t="e">
        <f>IF(NFI_Expiration=1,IF(#REF!&lt;VLOOKUP(T$5,NFI,5,0),1,0)*Table_NFI[[#This Row],[Plastic Mat]],Table_NFI[Plastic Mat])*IF(Table_NFI[[#This Row],[Distribution Date]]&gt;"2014-04-01",1,2.5)</f>
        <v>#REF!</v>
      </c>
      <c r="AL205" s="577" t="e">
        <f>IF(NFI_Expiration=1,IF(#REF!&lt;VLOOKUP(U$5,NFI,5,0),1,0)*Table_NFI[[#This Row],[Winter Clothes Adult]],Table_NFI[Winter Clothes Adult])</f>
        <v>#REF!</v>
      </c>
      <c r="AM205" s="577"/>
      <c r="AN205" s="577"/>
      <c r="AO205" s="577"/>
      <c r="AP205" s="577">
        <f>IF(Table_NFI[[#This Row],[Winter Clothes Adult]]+Table_NFI[[#This Row],[Winter Clothes Children]]+Table_NFI[[#This Row],[Winter Items Other]]+Table_NFI[[#This Row],[Winter Blanket]]&gt;0,1,0)</f>
        <v>0</v>
      </c>
      <c r="AQ205" s="577"/>
      <c r="AR205" s="577"/>
      <c r="AS205" s="577"/>
      <c r="AT205" s="220" t="str">
        <f>IFERROR(VLOOKUP(Table_NFI[[#This Row],[Location]],CL,2,0),"")</f>
        <v>MMR015CMP224</v>
      </c>
      <c r="AU205" s="197"/>
    </row>
    <row r="206" spans="2:47" hidden="1" x14ac:dyDescent="0.3">
      <c r="B206" s="575">
        <v>43166</v>
      </c>
      <c r="C206" s="575" t="str">
        <f>MONTH(Table_NFI[[#This Row],[Distribution Date]]) &amp; "/" &amp; YEAR(Table_NFI[[#This Row],[Distribution Date]])</f>
        <v>3/2018</v>
      </c>
      <c r="D206" s="213" t="s">
        <v>1474</v>
      </c>
      <c r="E206" s="213"/>
      <c r="F206" s="213" t="s">
        <v>378</v>
      </c>
      <c r="G206" s="235" t="s">
        <v>151</v>
      </c>
      <c r="H206" s="213" t="s">
        <v>154</v>
      </c>
      <c r="I206" s="197">
        <v>2</v>
      </c>
      <c r="J206" s="576"/>
      <c r="K206" s="576"/>
      <c r="L206" s="576"/>
      <c r="M206" s="576"/>
      <c r="N206" s="576"/>
      <c r="O206" s="576"/>
      <c r="P206" s="576"/>
      <c r="Q206" s="576"/>
      <c r="R206" s="576"/>
      <c r="S206" s="576"/>
      <c r="T206" s="576"/>
      <c r="U206" s="576"/>
      <c r="V206" s="576"/>
      <c r="W206" s="576"/>
      <c r="X206" s="576"/>
      <c r="Y206" s="576"/>
      <c r="Z206" s="576"/>
      <c r="AA206" s="576"/>
      <c r="AB206" s="576"/>
      <c r="AC206" s="577" t="e">
        <f>IF(NFI_Expiration=1,IF(#REF!&lt;VLOOKUP(L$5,NFI,5,0),1,0)*Table_NFI[[#This Row],[NFI Core Kit]],Table_NFI[NFI Core Kit])</f>
        <v>#REF!</v>
      </c>
      <c r="AD206" s="577" t="e">
        <f>IF(NFI_Expiration=1,IF(#REF!&lt;VLOOKUP(M$5,NFI,5,0),1,0)*Table_NFI[[#This Row],[Sanitary Kit]],Table_NFI[Sanitary Kit])</f>
        <v>#REF!</v>
      </c>
      <c r="AE206" s="577" t="e">
        <f>IF(NFI_Expiration=1,IF(#REF!&lt;VLOOKUP(N$5,NFI,5,0),1,0)*Table_NFI[[#This Row],[Mosquito net]],Table_NFI[Mosquito net])</f>
        <v>#REF!</v>
      </c>
      <c r="AF206" s="577" t="e">
        <f>IF(NFI_Expiration=1,IF(#REF!&lt;VLOOKUP(O$5,NFI,5,0),1,0)*Table_NFI[[#This Row],[Tarpaulin]],Table_NFI[[#This Row],[Tarpaulin]])</f>
        <v>#REF!</v>
      </c>
      <c r="AG206" s="577" t="e">
        <f>IF(NFI_Expiration=1,IF(#REF!&lt;VLOOKUP(P$5,NFI,5,0),1,0)*Table_NFI[[#This Row],[Blanket]],Table_NFI[[#This Row],[Blanket]])</f>
        <v>#REF!</v>
      </c>
      <c r="AH206" s="577" t="e">
        <f>IF(NFI_Expiration=1,IF(#REF!&lt;VLOOKUP(Q$5,NFI,5,0),1,0)*Table_NFI[[#This Row],[Kitchen Set]],Table_NFI[Kitchen Set])</f>
        <v>#REF!</v>
      </c>
      <c r="AI206" s="577" t="e">
        <f>IF(NFI_Expiration=1,IF(#REF!&lt;VLOOKUP(R$5,NFI,5,0),1,0)*Table_NFI[[#This Row],[Clothes Kit]],Table_NFI[Clothes Kit])</f>
        <v>#REF!</v>
      </c>
      <c r="AJ206" s="577" t="e">
        <f>IF(NFI_Expiration=1,IF(#REF!&lt;VLOOKUP(S$5,NFI,5,0),1,0)*Table_NFI[[#This Row],[Plastic Bucket]],Table_NFI[Plastic Bucket])</f>
        <v>#REF!</v>
      </c>
      <c r="AK206" s="577" t="e">
        <f>IF(NFI_Expiration=1,IF(#REF!&lt;VLOOKUP(T$5,NFI,5,0),1,0)*Table_NFI[[#This Row],[Plastic Mat]],Table_NFI[Plastic Mat])*IF(Table_NFI[[#This Row],[Distribution Date]]&gt;"2014-04-01",1,2.5)</f>
        <v>#REF!</v>
      </c>
      <c r="AL206" s="577" t="e">
        <f>IF(NFI_Expiration=1,IF(#REF!&lt;VLOOKUP(U$5,NFI,5,0),1,0)*Table_NFI[[#This Row],[Winter Clothes Adult]],Table_NFI[Winter Clothes Adult])</f>
        <v>#REF!</v>
      </c>
      <c r="AM206" s="577"/>
      <c r="AN206" s="577"/>
      <c r="AO206" s="577"/>
      <c r="AP206" s="577">
        <f>IF(Table_NFI[[#This Row],[Winter Clothes Adult]]+Table_NFI[[#This Row],[Winter Clothes Children]]+Table_NFI[[#This Row],[Winter Items Other]]+Table_NFI[[#This Row],[Winter Blanket]]&gt;0,1,0)</f>
        <v>0</v>
      </c>
      <c r="AQ206" s="577"/>
      <c r="AR206" s="577"/>
      <c r="AS206" s="577"/>
      <c r="AT206" s="220" t="str">
        <f>IFERROR(VLOOKUP(Table_NFI[[#This Row],[Location]],CL,2,0),"")</f>
        <v>MMR001CMP132</v>
      </c>
      <c r="AU206" s="197"/>
    </row>
    <row r="207" spans="2:47" hidden="1" x14ac:dyDescent="0.3">
      <c r="B207" s="575">
        <v>43175</v>
      </c>
      <c r="C207" s="575" t="str">
        <f>MONTH(Table_NFI[[#This Row],[Distribution Date]]) &amp; "/" &amp; YEAR(Table_NFI[[#This Row],[Distribution Date]])</f>
        <v>3/2018</v>
      </c>
      <c r="D207" s="213" t="s">
        <v>1474</v>
      </c>
      <c r="E207" s="213"/>
      <c r="F207" s="213" t="s">
        <v>378</v>
      </c>
      <c r="G207" s="235" t="s">
        <v>151</v>
      </c>
      <c r="H207" s="213" t="s">
        <v>154</v>
      </c>
      <c r="I207" s="197"/>
      <c r="J207" s="576">
        <v>16</v>
      </c>
      <c r="K207" s="576"/>
      <c r="L207" s="576"/>
      <c r="M207" s="576"/>
      <c r="N207" s="576"/>
      <c r="O207" s="576"/>
      <c r="P207" s="576"/>
      <c r="Q207" s="576">
        <v>16</v>
      </c>
      <c r="R207" s="576"/>
      <c r="S207" s="576"/>
      <c r="T207" s="576"/>
      <c r="U207" s="576">
        <v>16</v>
      </c>
      <c r="V207" s="576">
        <v>16</v>
      </c>
      <c r="W207" s="576">
        <v>16</v>
      </c>
      <c r="X207" s="576">
        <v>16</v>
      </c>
      <c r="Y207" s="576"/>
      <c r="Z207" s="576"/>
      <c r="AA207" s="576"/>
      <c r="AB207" s="576"/>
      <c r="AC207" s="577" t="e">
        <f>IF(NFI_Expiration=1,IF(#REF!&lt;VLOOKUP(L$5,NFI,5,0),1,0)*Table_NFI[[#This Row],[NFI Core Kit]],Table_NFI[NFI Core Kit])</f>
        <v>#REF!</v>
      </c>
      <c r="AD207" s="577" t="e">
        <f>IF(NFI_Expiration=1,IF(#REF!&lt;VLOOKUP(M$5,NFI,5,0),1,0)*Table_NFI[[#This Row],[Sanitary Kit]],Table_NFI[Sanitary Kit])</f>
        <v>#REF!</v>
      </c>
      <c r="AE207" s="577" t="e">
        <f>IF(NFI_Expiration=1,IF(#REF!&lt;VLOOKUP(N$5,NFI,5,0),1,0)*Table_NFI[[#This Row],[Mosquito net]],Table_NFI[Mosquito net])</f>
        <v>#REF!</v>
      </c>
      <c r="AF207" s="577" t="e">
        <f>IF(NFI_Expiration=1,IF(#REF!&lt;VLOOKUP(O$5,NFI,5,0),1,0)*Table_NFI[[#This Row],[Tarpaulin]],Table_NFI[[#This Row],[Tarpaulin]])</f>
        <v>#REF!</v>
      </c>
      <c r="AG207" s="577" t="e">
        <f>IF(NFI_Expiration=1,IF(#REF!&lt;VLOOKUP(P$5,NFI,5,0),1,0)*Table_NFI[[#This Row],[Blanket]],Table_NFI[[#This Row],[Blanket]])</f>
        <v>#REF!</v>
      </c>
      <c r="AH207" s="577" t="e">
        <f>IF(NFI_Expiration=1,IF(#REF!&lt;VLOOKUP(Q$5,NFI,5,0),1,0)*Table_NFI[[#This Row],[Kitchen Set]],Table_NFI[Kitchen Set])</f>
        <v>#REF!</v>
      </c>
      <c r="AI207" s="577" t="e">
        <f>IF(NFI_Expiration=1,IF(#REF!&lt;VLOOKUP(R$5,NFI,5,0),1,0)*Table_NFI[[#This Row],[Clothes Kit]],Table_NFI[Clothes Kit])</f>
        <v>#REF!</v>
      </c>
      <c r="AJ207" s="577" t="e">
        <f>IF(NFI_Expiration=1,IF(#REF!&lt;VLOOKUP(S$5,NFI,5,0),1,0)*Table_NFI[[#This Row],[Plastic Bucket]],Table_NFI[Plastic Bucket])</f>
        <v>#REF!</v>
      </c>
      <c r="AK207" s="577" t="e">
        <f>IF(NFI_Expiration=1,IF(#REF!&lt;VLOOKUP(T$5,NFI,5,0),1,0)*Table_NFI[[#This Row],[Plastic Mat]],Table_NFI[Plastic Mat])*IF(Table_NFI[[#This Row],[Distribution Date]]&gt;"2014-04-01",1,2.5)</f>
        <v>#REF!</v>
      </c>
      <c r="AL207" s="577" t="e">
        <f>IF(NFI_Expiration=1,IF(#REF!&lt;VLOOKUP(U$5,NFI,5,0),1,0)*Table_NFI[[#This Row],[Winter Clothes Adult]],Table_NFI[Winter Clothes Adult])</f>
        <v>#REF!</v>
      </c>
      <c r="AM207" s="577"/>
      <c r="AN207" s="577"/>
      <c r="AO207" s="577"/>
      <c r="AP207" s="577">
        <f>IF(Table_NFI[[#This Row],[Winter Clothes Adult]]+Table_NFI[[#This Row],[Winter Clothes Children]]+Table_NFI[[#This Row],[Winter Items Other]]+Table_NFI[[#This Row],[Winter Blanket]]&gt;0,1,0)</f>
        <v>1</v>
      </c>
      <c r="AQ207" s="577"/>
      <c r="AR207" s="577"/>
      <c r="AS207" s="577"/>
      <c r="AT207" s="220" t="str">
        <f>IFERROR(VLOOKUP(Table_NFI[[#This Row],[Location]],CL,2,0),"")</f>
        <v>MMR001CMP132</v>
      </c>
      <c r="AU207" s="197"/>
    </row>
    <row r="208" spans="2:47" hidden="1" x14ac:dyDescent="0.3">
      <c r="B208" s="575">
        <v>43185</v>
      </c>
      <c r="C208" s="575" t="str">
        <f>MONTH(Table_NFI[[#This Row],[Distribution Date]]) &amp; "/" &amp; YEAR(Table_NFI[[#This Row],[Distribution Date]])</f>
        <v>3/2018</v>
      </c>
      <c r="D208" s="213" t="s">
        <v>1474</v>
      </c>
      <c r="E208" s="213"/>
      <c r="F208" s="213" t="s">
        <v>506</v>
      </c>
      <c r="G208" s="235" t="s">
        <v>297</v>
      </c>
      <c r="H208" s="213" t="s">
        <v>1138</v>
      </c>
      <c r="I208" s="197"/>
      <c r="J208" s="576"/>
      <c r="K208" s="576"/>
      <c r="L208" s="576"/>
      <c r="M208" s="576"/>
      <c r="N208" s="576"/>
      <c r="O208" s="576"/>
      <c r="P208" s="576"/>
      <c r="Q208" s="576"/>
      <c r="R208" s="576"/>
      <c r="S208" s="576"/>
      <c r="T208" s="576"/>
      <c r="U208" s="576"/>
      <c r="V208" s="576"/>
      <c r="W208" s="576"/>
      <c r="X208" s="576"/>
      <c r="Y208" s="576"/>
      <c r="Z208" s="576"/>
      <c r="AA208" s="576">
        <v>14</v>
      </c>
      <c r="AB208" s="576"/>
      <c r="AC208" s="577" t="e">
        <f>IF(NFI_Expiration=1,IF(#REF!&lt;VLOOKUP(L$5,NFI,5,0),1,0)*Table_NFI[[#This Row],[NFI Core Kit]],Table_NFI[NFI Core Kit])</f>
        <v>#REF!</v>
      </c>
      <c r="AD208" s="577" t="e">
        <f>IF(NFI_Expiration=1,IF(#REF!&lt;VLOOKUP(M$5,NFI,5,0),1,0)*Table_NFI[[#This Row],[Sanitary Kit]],Table_NFI[Sanitary Kit])</f>
        <v>#REF!</v>
      </c>
      <c r="AE208" s="577" t="e">
        <f>IF(NFI_Expiration=1,IF(#REF!&lt;VLOOKUP(N$5,NFI,5,0),1,0)*Table_NFI[[#This Row],[Mosquito net]],Table_NFI[Mosquito net])</f>
        <v>#REF!</v>
      </c>
      <c r="AF208" s="577" t="e">
        <f>IF(NFI_Expiration=1,IF(#REF!&lt;VLOOKUP(O$5,NFI,5,0),1,0)*Table_NFI[[#This Row],[Tarpaulin]],Table_NFI[[#This Row],[Tarpaulin]])</f>
        <v>#REF!</v>
      </c>
      <c r="AG208" s="577" t="e">
        <f>IF(NFI_Expiration=1,IF(#REF!&lt;VLOOKUP(P$5,NFI,5,0),1,0)*Table_NFI[[#This Row],[Blanket]],Table_NFI[[#This Row],[Blanket]])</f>
        <v>#REF!</v>
      </c>
      <c r="AH208" s="577" t="e">
        <f>IF(NFI_Expiration=1,IF(#REF!&lt;VLOOKUP(Q$5,NFI,5,0),1,0)*Table_NFI[[#This Row],[Kitchen Set]],Table_NFI[Kitchen Set])</f>
        <v>#REF!</v>
      </c>
      <c r="AI208" s="577" t="e">
        <f>IF(NFI_Expiration=1,IF(#REF!&lt;VLOOKUP(R$5,NFI,5,0),1,0)*Table_NFI[[#This Row],[Clothes Kit]],Table_NFI[Clothes Kit])</f>
        <v>#REF!</v>
      </c>
      <c r="AJ208" s="577" t="e">
        <f>IF(NFI_Expiration=1,IF(#REF!&lt;VLOOKUP(S$5,NFI,5,0),1,0)*Table_NFI[[#This Row],[Plastic Bucket]],Table_NFI[Plastic Bucket])</f>
        <v>#REF!</v>
      </c>
      <c r="AK208" s="577" t="e">
        <f>IF(NFI_Expiration=1,IF(#REF!&lt;VLOOKUP(T$5,NFI,5,0),1,0)*Table_NFI[[#This Row],[Plastic Mat]],Table_NFI[Plastic Mat])*IF(Table_NFI[[#This Row],[Distribution Date]]&gt;"2014-04-01",1,2.5)</f>
        <v>#REF!</v>
      </c>
      <c r="AL208" s="577" t="e">
        <f>IF(NFI_Expiration=1,IF(#REF!&lt;VLOOKUP(U$5,NFI,5,0),1,0)*Table_NFI[[#This Row],[Winter Clothes Adult]],Table_NFI[Winter Clothes Adult])</f>
        <v>#REF!</v>
      </c>
      <c r="AM208" s="577"/>
      <c r="AN208" s="577"/>
      <c r="AO208" s="577"/>
      <c r="AP208" s="577">
        <f>IF(Table_NFI[[#This Row],[Winter Clothes Adult]]+Table_NFI[[#This Row],[Winter Clothes Children]]+Table_NFI[[#This Row],[Winter Items Other]]+Table_NFI[[#This Row],[Winter Blanket]]&gt;0,1,0)</f>
        <v>0</v>
      </c>
      <c r="AQ208" s="577"/>
      <c r="AR208" s="577"/>
      <c r="AS208" s="577"/>
      <c r="AT208" s="220" t="str">
        <f>IFERROR(VLOOKUP(Table_NFI[[#This Row],[Location]],CL,2,0),"")</f>
        <v>MMR015CMP221</v>
      </c>
      <c r="AU208" s="197" t="s">
        <v>1658</v>
      </c>
    </row>
    <row r="209" spans="2:47" hidden="1" x14ac:dyDescent="0.3">
      <c r="B209" s="575">
        <v>43180</v>
      </c>
      <c r="C209" s="575" t="str">
        <f>MONTH(Table_NFI[[#This Row],[Distribution Date]]) &amp; "/" &amp; YEAR(Table_NFI[[#This Row],[Distribution Date]])</f>
        <v>3/2018</v>
      </c>
      <c r="D209" s="213" t="s">
        <v>1264</v>
      </c>
      <c r="E209" s="213" t="s">
        <v>424</v>
      </c>
      <c r="F209" s="213" t="s">
        <v>378</v>
      </c>
      <c r="G209" s="235" t="s">
        <v>185</v>
      </c>
      <c r="H209" s="213" t="s">
        <v>209</v>
      </c>
      <c r="I209" s="197"/>
      <c r="J209" s="576"/>
      <c r="K209" s="576"/>
      <c r="L209" s="576"/>
      <c r="M209" s="576"/>
      <c r="N209" s="576"/>
      <c r="O209" s="576"/>
      <c r="P209" s="576">
        <v>124</v>
      </c>
      <c r="Q209" s="576"/>
      <c r="R209" s="576"/>
      <c r="S209" s="576"/>
      <c r="T209" s="576">
        <v>124</v>
      </c>
      <c r="U209" s="576"/>
      <c r="V209" s="576"/>
      <c r="W209" s="576"/>
      <c r="X209" s="576"/>
      <c r="Y209" s="576"/>
      <c r="Z209" s="576"/>
      <c r="AA209" s="576"/>
      <c r="AB209" s="576"/>
      <c r="AC209" s="577" t="e">
        <f>IF(NFI_Expiration=1,IF(#REF!&lt;VLOOKUP(L$5,NFI,5,0),1,0)*Table_NFI[[#This Row],[NFI Core Kit]],Table_NFI[NFI Core Kit])</f>
        <v>#REF!</v>
      </c>
      <c r="AD209" s="577" t="e">
        <f>IF(NFI_Expiration=1,IF(#REF!&lt;VLOOKUP(M$5,NFI,5,0),1,0)*Table_NFI[[#This Row],[Sanitary Kit]],Table_NFI[Sanitary Kit])</f>
        <v>#REF!</v>
      </c>
      <c r="AE209" s="577" t="e">
        <f>IF(NFI_Expiration=1,IF(#REF!&lt;VLOOKUP(N$5,NFI,5,0),1,0)*Table_NFI[[#This Row],[Mosquito net]],Table_NFI[Mosquito net])</f>
        <v>#REF!</v>
      </c>
      <c r="AF209" s="577" t="e">
        <f>IF(NFI_Expiration=1,IF(#REF!&lt;VLOOKUP(O$5,NFI,5,0),1,0)*Table_NFI[[#This Row],[Tarpaulin]],Table_NFI[[#This Row],[Tarpaulin]])</f>
        <v>#REF!</v>
      </c>
      <c r="AG209" s="577" t="e">
        <f>IF(NFI_Expiration=1,IF(#REF!&lt;VLOOKUP(P$5,NFI,5,0),1,0)*Table_NFI[[#This Row],[Blanket]],Table_NFI[[#This Row],[Blanket]])</f>
        <v>#REF!</v>
      </c>
      <c r="AH209" s="577" t="e">
        <f>IF(NFI_Expiration=1,IF(#REF!&lt;VLOOKUP(Q$5,NFI,5,0),1,0)*Table_NFI[[#This Row],[Kitchen Set]],Table_NFI[Kitchen Set])</f>
        <v>#REF!</v>
      </c>
      <c r="AI209" s="577" t="e">
        <f>IF(NFI_Expiration=1,IF(#REF!&lt;VLOOKUP(R$5,NFI,5,0),1,0)*Table_NFI[[#This Row],[Clothes Kit]],Table_NFI[Clothes Kit])</f>
        <v>#REF!</v>
      </c>
      <c r="AJ209" s="577" t="e">
        <f>IF(NFI_Expiration=1,IF(#REF!&lt;VLOOKUP(S$5,NFI,5,0),1,0)*Table_NFI[[#This Row],[Plastic Bucket]],Table_NFI[Plastic Bucket])</f>
        <v>#REF!</v>
      </c>
      <c r="AK209" s="577" t="e">
        <f>IF(NFI_Expiration=1,IF(#REF!&lt;VLOOKUP(T$5,NFI,5,0),1,0)*Table_NFI[[#This Row],[Plastic Mat]],Table_NFI[Plastic Mat])*IF(Table_NFI[[#This Row],[Distribution Date]]&gt;"2014-04-01",1,2.5)</f>
        <v>#REF!</v>
      </c>
      <c r="AL209" s="577" t="e">
        <f>IF(NFI_Expiration=1,IF(#REF!&lt;VLOOKUP(U$5,NFI,5,0),1,0)*Table_NFI[[#This Row],[Winter Clothes Adult]],Table_NFI[Winter Clothes Adult])</f>
        <v>#REF!</v>
      </c>
      <c r="AM209" s="577"/>
      <c r="AN209" s="577"/>
      <c r="AO209" s="577"/>
      <c r="AP209" s="577">
        <f>IF(Table_NFI[[#This Row],[Winter Clothes Adult]]+Table_NFI[[#This Row],[Winter Clothes Children]]+Table_NFI[[#This Row],[Winter Items Other]]+Table_NFI[[#This Row],[Winter Blanket]]&gt;0,1,0)</f>
        <v>0</v>
      </c>
      <c r="AQ209" s="577"/>
      <c r="AR209" s="577"/>
      <c r="AS209" s="577"/>
      <c r="AT209" s="220" t="str">
        <f>IFERROR(VLOOKUP(Table_NFI[[#This Row],[Location]],CL,2,0),"")</f>
        <v>MMR001CMP056</v>
      </c>
      <c r="AU209" s="197" t="s">
        <v>1660</v>
      </c>
    </row>
    <row r="210" spans="2:47" hidden="1" x14ac:dyDescent="0.3">
      <c r="B210" s="575">
        <v>43187</v>
      </c>
      <c r="C210" s="575" t="str">
        <f>MONTH(Table_NFI[[#This Row],[Distribution Date]]) &amp; "/" &amp; YEAR(Table_NFI[[#This Row],[Distribution Date]])</f>
        <v>3/2018</v>
      </c>
      <c r="D210" s="213" t="s">
        <v>1264</v>
      </c>
      <c r="E210" s="213"/>
      <c r="F210" s="213" t="s">
        <v>378</v>
      </c>
      <c r="G210" s="235" t="s">
        <v>185</v>
      </c>
      <c r="H210" s="213" t="s">
        <v>12</v>
      </c>
      <c r="I210" s="197"/>
      <c r="J210" s="576"/>
      <c r="K210" s="576"/>
      <c r="L210" s="576"/>
      <c r="M210" s="576"/>
      <c r="N210" s="576"/>
      <c r="O210" s="576"/>
      <c r="P210" s="576">
        <v>387</v>
      </c>
      <c r="Q210" s="576"/>
      <c r="R210" s="576"/>
      <c r="S210" s="576"/>
      <c r="T210" s="576">
        <v>387</v>
      </c>
      <c r="U210" s="576"/>
      <c r="V210" s="576"/>
      <c r="W210" s="576"/>
      <c r="X210" s="576"/>
      <c r="Y210" s="576"/>
      <c r="Z210" s="576"/>
      <c r="AA210" s="576"/>
      <c r="AB210" s="576"/>
      <c r="AC210" s="577" t="e">
        <f>IF(NFI_Expiration=1,IF(#REF!&lt;VLOOKUP(L$5,NFI,5,0),1,0)*Table_NFI[[#This Row],[NFI Core Kit]],Table_NFI[NFI Core Kit])</f>
        <v>#REF!</v>
      </c>
      <c r="AD210" s="577" t="e">
        <f>IF(NFI_Expiration=1,IF(#REF!&lt;VLOOKUP(M$5,NFI,5,0),1,0)*Table_NFI[[#This Row],[Sanitary Kit]],Table_NFI[Sanitary Kit])</f>
        <v>#REF!</v>
      </c>
      <c r="AE210" s="577" t="e">
        <f>IF(NFI_Expiration=1,IF(#REF!&lt;VLOOKUP(N$5,NFI,5,0),1,0)*Table_NFI[[#This Row],[Mosquito net]],Table_NFI[Mosquito net])</f>
        <v>#REF!</v>
      </c>
      <c r="AF210" s="577" t="e">
        <f>IF(NFI_Expiration=1,IF(#REF!&lt;VLOOKUP(O$5,NFI,5,0),1,0)*Table_NFI[[#This Row],[Tarpaulin]],Table_NFI[[#This Row],[Tarpaulin]])</f>
        <v>#REF!</v>
      </c>
      <c r="AG210" s="577" t="e">
        <f>IF(NFI_Expiration=1,IF(#REF!&lt;VLOOKUP(P$5,NFI,5,0),1,0)*Table_NFI[[#This Row],[Blanket]],Table_NFI[[#This Row],[Blanket]])</f>
        <v>#REF!</v>
      </c>
      <c r="AH210" s="577" t="e">
        <f>IF(NFI_Expiration=1,IF(#REF!&lt;VLOOKUP(Q$5,NFI,5,0),1,0)*Table_NFI[[#This Row],[Kitchen Set]],Table_NFI[Kitchen Set])</f>
        <v>#REF!</v>
      </c>
      <c r="AI210" s="577" t="e">
        <f>IF(NFI_Expiration=1,IF(#REF!&lt;VLOOKUP(R$5,NFI,5,0),1,0)*Table_NFI[[#This Row],[Clothes Kit]],Table_NFI[Clothes Kit])</f>
        <v>#REF!</v>
      </c>
      <c r="AJ210" s="577" t="e">
        <f>IF(NFI_Expiration=1,IF(#REF!&lt;VLOOKUP(S$5,NFI,5,0),1,0)*Table_NFI[[#This Row],[Plastic Bucket]],Table_NFI[Plastic Bucket])</f>
        <v>#REF!</v>
      </c>
      <c r="AK210" s="577" t="e">
        <f>IF(NFI_Expiration=1,IF(#REF!&lt;VLOOKUP(T$5,NFI,5,0),1,0)*Table_NFI[[#This Row],[Plastic Mat]],Table_NFI[Plastic Mat])*IF(Table_NFI[[#This Row],[Distribution Date]]&gt;"2014-04-01",1,2.5)</f>
        <v>#REF!</v>
      </c>
      <c r="AL210" s="577" t="e">
        <f>IF(NFI_Expiration=1,IF(#REF!&lt;VLOOKUP(U$5,NFI,5,0),1,0)*Table_NFI[[#This Row],[Winter Clothes Adult]],Table_NFI[Winter Clothes Adult])</f>
        <v>#REF!</v>
      </c>
      <c r="AM210" s="577"/>
      <c r="AN210" s="577"/>
      <c r="AO210" s="577"/>
      <c r="AP210" s="577">
        <f>IF(Table_NFI[[#This Row],[Winter Clothes Adult]]+Table_NFI[[#This Row],[Winter Clothes Children]]+Table_NFI[[#This Row],[Winter Items Other]]+Table_NFI[[#This Row],[Winter Blanket]]&gt;0,1,0)</f>
        <v>0</v>
      </c>
      <c r="AQ210" s="577"/>
      <c r="AR210" s="577"/>
      <c r="AS210" s="577"/>
      <c r="AT210" s="220" t="str">
        <f>IFERROR(VLOOKUP(Table_NFI[[#This Row],[Location]],CL,2,0),"")</f>
        <v>MMR001CMP163</v>
      </c>
      <c r="AU210" s="197" t="s">
        <v>1661</v>
      </c>
    </row>
    <row r="211" spans="2:47" hidden="1" x14ac:dyDescent="0.3">
      <c r="B211" s="575">
        <v>43189</v>
      </c>
      <c r="C211" s="575" t="str">
        <f>MONTH(Table_NFI[[#This Row],[Distribution Date]]) &amp; "/" &amp; YEAR(Table_NFI[[#This Row],[Distribution Date]])</f>
        <v>3/2018</v>
      </c>
      <c r="D211" s="213" t="s">
        <v>1264</v>
      </c>
      <c r="E211" s="213"/>
      <c r="F211" s="213" t="s">
        <v>378</v>
      </c>
      <c r="G211" s="235" t="s">
        <v>151</v>
      </c>
      <c r="H211" s="213" t="s">
        <v>12</v>
      </c>
      <c r="I211" s="197"/>
      <c r="J211" s="576"/>
      <c r="K211" s="576"/>
      <c r="L211" s="576"/>
      <c r="M211" s="576"/>
      <c r="N211" s="576"/>
      <c r="O211" s="576"/>
      <c r="P211" s="576">
        <v>77</v>
      </c>
      <c r="Q211" s="576"/>
      <c r="R211" s="576"/>
      <c r="S211" s="576"/>
      <c r="T211" s="576">
        <v>77</v>
      </c>
      <c r="U211" s="576"/>
      <c r="V211" s="576"/>
      <c r="W211" s="576"/>
      <c r="X211" s="576"/>
      <c r="Y211" s="576"/>
      <c r="Z211" s="576"/>
      <c r="AA211" s="576"/>
      <c r="AB211" s="576"/>
      <c r="AC211" s="577" t="e">
        <f>IF(NFI_Expiration=1,IF(#REF!&lt;VLOOKUP(L$5,NFI,5,0),1,0)*Table_NFI[[#This Row],[NFI Core Kit]],Table_NFI[NFI Core Kit])</f>
        <v>#REF!</v>
      </c>
      <c r="AD211" s="577" t="e">
        <f>IF(NFI_Expiration=1,IF(#REF!&lt;VLOOKUP(M$5,NFI,5,0),1,0)*Table_NFI[[#This Row],[Sanitary Kit]],Table_NFI[Sanitary Kit])</f>
        <v>#REF!</v>
      </c>
      <c r="AE211" s="577" t="e">
        <f>IF(NFI_Expiration=1,IF(#REF!&lt;VLOOKUP(N$5,NFI,5,0),1,0)*Table_NFI[[#This Row],[Mosquito net]],Table_NFI[Mosquito net])</f>
        <v>#REF!</v>
      </c>
      <c r="AF211" s="577" t="e">
        <f>IF(NFI_Expiration=1,IF(#REF!&lt;VLOOKUP(O$5,NFI,5,0),1,0)*Table_NFI[[#This Row],[Tarpaulin]],Table_NFI[[#This Row],[Tarpaulin]])</f>
        <v>#REF!</v>
      </c>
      <c r="AG211" s="577" t="e">
        <f>IF(NFI_Expiration=1,IF(#REF!&lt;VLOOKUP(P$5,NFI,5,0),1,0)*Table_NFI[[#This Row],[Blanket]],Table_NFI[[#This Row],[Blanket]])</f>
        <v>#REF!</v>
      </c>
      <c r="AH211" s="577" t="e">
        <f>IF(NFI_Expiration=1,IF(#REF!&lt;VLOOKUP(Q$5,NFI,5,0),1,0)*Table_NFI[[#This Row],[Kitchen Set]],Table_NFI[Kitchen Set])</f>
        <v>#REF!</v>
      </c>
      <c r="AI211" s="577" t="e">
        <f>IF(NFI_Expiration=1,IF(#REF!&lt;VLOOKUP(R$5,NFI,5,0),1,0)*Table_NFI[[#This Row],[Clothes Kit]],Table_NFI[Clothes Kit])</f>
        <v>#REF!</v>
      </c>
      <c r="AJ211" s="577" t="e">
        <f>IF(NFI_Expiration=1,IF(#REF!&lt;VLOOKUP(S$5,NFI,5,0),1,0)*Table_NFI[[#This Row],[Plastic Bucket]],Table_NFI[Plastic Bucket])</f>
        <v>#REF!</v>
      </c>
      <c r="AK211" s="577" t="e">
        <f>IF(NFI_Expiration=1,IF(#REF!&lt;VLOOKUP(T$5,NFI,5,0),1,0)*Table_NFI[[#This Row],[Plastic Mat]],Table_NFI[Plastic Mat])*IF(Table_NFI[[#This Row],[Distribution Date]]&gt;"2014-04-01",1,2.5)</f>
        <v>#REF!</v>
      </c>
      <c r="AL211" s="577" t="e">
        <f>IF(NFI_Expiration=1,IF(#REF!&lt;VLOOKUP(U$5,NFI,5,0),1,0)*Table_NFI[[#This Row],[Winter Clothes Adult]],Table_NFI[Winter Clothes Adult])</f>
        <v>#REF!</v>
      </c>
      <c r="AM211" s="577"/>
      <c r="AN211" s="577"/>
      <c r="AO211" s="577"/>
      <c r="AP211" s="577">
        <f>IF(Table_NFI[[#This Row],[Winter Clothes Adult]]+Table_NFI[[#This Row],[Winter Clothes Children]]+Table_NFI[[#This Row],[Winter Items Other]]+Table_NFI[[#This Row],[Winter Blanket]]&gt;0,1,0)</f>
        <v>0</v>
      </c>
      <c r="AQ211" s="577"/>
      <c r="AR211" s="577"/>
      <c r="AS211" s="577"/>
      <c r="AT211" s="220" t="str">
        <f>IFERROR(VLOOKUP(Table_NFI[[#This Row],[Location]],CL,2,0),"")</f>
        <v>MMR001CMP163</v>
      </c>
      <c r="AU211" s="197" t="s">
        <v>1662</v>
      </c>
    </row>
    <row r="212" spans="2:47" hidden="1" x14ac:dyDescent="0.3">
      <c r="B212" s="575">
        <v>43180</v>
      </c>
      <c r="C212" s="575" t="str">
        <f>MONTH(Table_NFI[[#This Row],[Distribution Date]]) &amp; "/" &amp; YEAR(Table_NFI[[#This Row],[Distribution Date]])</f>
        <v>3/2018</v>
      </c>
      <c r="D212" s="213" t="s">
        <v>1264</v>
      </c>
      <c r="E212" s="213" t="s">
        <v>1659</v>
      </c>
      <c r="F212" s="213" t="s">
        <v>378</v>
      </c>
      <c r="G212" s="235" t="s">
        <v>185</v>
      </c>
      <c r="H212" s="213" t="s">
        <v>202</v>
      </c>
      <c r="I212" s="197"/>
      <c r="J212" s="576"/>
      <c r="K212" s="576"/>
      <c r="L212" s="576"/>
      <c r="M212" s="576"/>
      <c r="N212" s="576"/>
      <c r="O212" s="576"/>
      <c r="P212" s="576">
        <v>34</v>
      </c>
      <c r="Q212" s="576"/>
      <c r="R212" s="576"/>
      <c r="S212" s="576"/>
      <c r="T212" s="576">
        <v>34</v>
      </c>
      <c r="U212" s="576"/>
      <c r="V212" s="576"/>
      <c r="W212" s="576"/>
      <c r="X212" s="576"/>
      <c r="Y212" s="576"/>
      <c r="Z212" s="576"/>
      <c r="AA212" s="576"/>
      <c r="AB212" s="576"/>
      <c r="AC212" s="577" t="e">
        <f>IF(NFI_Expiration=1,IF(#REF!&lt;VLOOKUP(L$5,NFI,5,0),1,0)*Table_NFI[[#This Row],[NFI Core Kit]],Table_NFI[NFI Core Kit])</f>
        <v>#REF!</v>
      </c>
      <c r="AD212" s="577" t="e">
        <f>IF(NFI_Expiration=1,IF(#REF!&lt;VLOOKUP(M$5,NFI,5,0),1,0)*Table_NFI[[#This Row],[Sanitary Kit]],Table_NFI[Sanitary Kit])</f>
        <v>#REF!</v>
      </c>
      <c r="AE212" s="577" t="e">
        <f>IF(NFI_Expiration=1,IF(#REF!&lt;VLOOKUP(N$5,NFI,5,0),1,0)*Table_NFI[[#This Row],[Mosquito net]],Table_NFI[Mosquito net])</f>
        <v>#REF!</v>
      </c>
      <c r="AF212" s="577" t="e">
        <f>IF(NFI_Expiration=1,IF(#REF!&lt;VLOOKUP(O$5,NFI,5,0),1,0)*Table_NFI[[#This Row],[Tarpaulin]],Table_NFI[[#This Row],[Tarpaulin]])</f>
        <v>#REF!</v>
      </c>
      <c r="AG212" s="577" t="e">
        <f>IF(NFI_Expiration=1,IF(#REF!&lt;VLOOKUP(P$5,NFI,5,0),1,0)*Table_NFI[[#This Row],[Blanket]],Table_NFI[[#This Row],[Blanket]])</f>
        <v>#REF!</v>
      </c>
      <c r="AH212" s="577" t="e">
        <f>IF(NFI_Expiration=1,IF(#REF!&lt;VLOOKUP(Q$5,NFI,5,0),1,0)*Table_NFI[[#This Row],[Kitchen Set]],Table_NFI[Kitchen Set])</f>
        <v>#REF!</v>
      </c>
      <c r="AI212" s="577" t="e">
        <f>IF(NFI_Expiration=1,IF(#REF!&lt;VLOOKUP(R$5,NFI,5,0),1,0)*Table_NFI[[#This Row],[Clothes Kit]],Table_NFI[Clothes Kit])</f>
        <v>#REF!</v>
      </c>
      <c r="AJ212" s="577" t="e">
        <f>IF(NFI_Expiration=1,IF(#REF!&lt;VLOOKUP(S$5,NFI,5,0),1,0)*Table_NFI[[#This Row],[Plastic Bucket]],Table_NFI[Plastic Bucket])</f>
        <v>#REF!</v>
      </c>
      <c r="AK212" s="577" t="e">
        <f>IF(NFI_Expiration=1,IF(#REF!&lt;VLOOKUP(T$5,NFI,5,0),1,0)*Table_NFI[[#This Row],[Plastic Mat]],Table_NFI[Plastic Mat])*IF(Table_NFI[[#This Row],[Distribution Date]]&gt;"2014-04-01",1,2.5)</f>
        <v>#REF!</v>
      </c>
      <c r="AL212" s="577" t="e">
        <f>IF(NFI_Expiration=1,IF(#REF!&lt;VLOOKUP(U$5,NFI,5,0),1,0)*Table_NFI[[#This Row],[Winter Clothes Adult]],Table_NFI[Winter Clothes Adult])</f>
        <v>#REF!</v>
      </c>
      <c r="AM212" s="577"/>
      <c r="AN212" s="577"/>
      <c r="AO212" s="577"/>
      <c r="AP212" s="577">
        <f>IF(Table_NFI[[#This Row],[Winter Clothes Adult]]+Table_NFI[[#This Row],[Winter Clothes Children]]+Table_NFI[[#This Row],[Winter Items Other]]+Table_NFI[[#This Row],[Winter Blanket]]&gt;0,1,0)</f>
        <v>0</v>
      </c>
      <c r="AQ212" s="577"/>
      <c r="AR212" s="577"/>
      <c r="AS212" s="577"/>
      <c r="AT212" s="220" t="str">
        <f>IFERROR(VLOOKUP(Table_NFI[[#This Row],[Location]],CL,2,0),"")</f>
        <v>MMR001CMP062</v>
      </c>
      <c r="AU212" s="197" t="s">
        <v>1663</v>
      </c>
    </row>
    <row r="213" spans="2:47" x14ac:dyDescent="0.25">
      <c r="B213" s="575">
        <v>43201</v>
      </c>
      <c r="C213" s="575"/>
      <c r="D213" s="213" t="s">
        <v>1474</v>
      </c>
      <c r="E213" s="213"/>
      <c r="F213" s="213" t="s">
        <v>506</v>
      </c>
      <c r="G213" s="213" t="s">
        <v>297</v>
      </c>
      <c r="H213" s="575" t="s">
        <v>1192</v>
      </c>
      <c r="I213" s="716"/>
      <c r="J213" s="576">
        <v>101</v>
      </c>
      <c r="K213" s="576"/>
      <c r="L213" s="576"/>
      <c r="M213" s="576"/>
      <c r="N213" s="576"/>
      <c r="O213" s="576"/>
      <c r="P213" s="576"/>
      <c r="Q213" s="576"/>
      <c r="R213" s="576"/>
      <c r="S213" s="576">
        <v>101</v>
      </c>
      <c r="T213" s="576"/>
      <c r="U213" s="576"/>
      <c r="V213" s="576"/>
      <c r="W213" s="576"/>
      <c r="X213" s="576"/>
      <c r="Y213" s="576"/>
      <c r="Z213" s="576"/>
      <c r="AA213" s="576"/>
      <c r="AB213" s="576"/>
      <c r="AC213" s="577" t="e">
        <f>IF(NFI_Expiration=1,IF(#REF!&lt;VLOOKUP(L$5,NFI,5,0),1,0)*Table_NFI[[#This Row],[NFI Core Kit]],Table_NFI[NFI Core Kit])</f>
        <v>#REF!</v>
      </c>
      <c r="AD213" s="577" t="e">
        <f>IF(NFI_Expiration=1,IF(#REF!&lt;VLOOKUP(M$5,NFI,5,0),1,0)*Table_NFI[[#This Row],[Sanitary Kit]],Table_NFI[Sanitary Kit])</f>
        <v>#REF!</v>
      </c>
      <c r="AE213" s="577" t="e">
        <f>IF(NFI_Expiration=1,IF(#REF!&lt;VLOOKUP(N$5,NFI,5,0),1,0)*Table_NFI[[#This Row],[Mosquito net]],Table_NFI[Mosquito net])</f>
        <v>#REF!</v>
      </c>
      <c r="AF213" s="577" t="e">
        <f>IF(NFI_Expiration=1,IF(#REF!&lt;VLOOKUP(O$5,NFI,5,0),1,0)*Table_NFI[[#This Row],[Tarpaulin]],Table_NFI[[#This Row],[Tarpaulin]])</f>
        <v>#REF!</v>
      </c>
      <c r="AG213" s="577" t="e">
        <f>IF(NFI_Expiration=1,IF(#REF!&lt;VLOOKUP(P$5,NFI,5,0),1,0)*Table_NFI[[#This Row],[Blanket]],Table_NFI[[#This Row],[Blanket]])</f>
        <v>#REF!</v>
      </c>
      <c r="AH213" s="577" t="e">
        <f>IF(NFI_Expiration=1,IF(#REF!&lt;VLOOKUP(Q$5,NFI,5,0),1,0)*Table_NFI[[#This Row],[Kitchen Set]],Table_NFI[Kitchen Set])</f>
        <v>#REF!</v>
      </c>
      <c r="AI213" s="577" t="e">
        <f>IF(NFI_Expiration=1,IF(#REF!&lt;VLOOKUP(R$5,NFI,5,0),1,0)*Table_NFI[[#This Row],[Clothes Kit]],Table_NFI[Clothes Kit])</f>
        <v>#REF!</v>
      </c>
      <c r="AJ213" s="577" t="e">
        <f>IF(NFI_Expiration=1,IF(#REF!&lt;VLOOKUP(S$5,NFI,5,0),1,0)*Table_NFI[[#This Row],[Plastic Bucket]],Table_NFI[Plastic Bucket])</f>
        <v>#REF!</v>
      </c>
      <c r="AK213" s="577" t="e">
        <f>IF(NFI_Expiration=1,IF(#REF!&lt;VLOOKUP(T$5,NFI,5,0),1,0)*Table_NFI[[#This Row],[Plastic Mat]],Table_NFI[Plastic Mat])*IF(Table_NFI[[#This Row],[Distribution Date]]&gt;"2014-04-01",1,2.5)</f>
        <v>#REF!</v>
      </c>
      <c r="AL213" s="577" t="e">
        <f>IF(NFI_Expiration=1,IF(#REF!&lt;VLOOKUP(U$5,NFI,5,0),1,0)*Table_NFI[[#This Row],[Winter Clothes Adult]],Table_NFI[Winter Clothes Adult])</f>
        <v>#REF!</v>
      </c>
      <c r="AM213" s="577"/>
      <c r="AN213" s="577"/>
      <c r="AO213" s="577"/>
      <c r="AP213" s="577">
        <f>IF(Table_NFI[[#This Row],[Winter Clothes Adult]]+Table_NFI[[#This Row],[Winter Clothes Children]]+Table_NFI[[#This Row],[Winter Items Other]]+Table_NFI[[#This Row],[Winter Blanket]]&gt;0,1,0)</f>
        <v>0</v>
      </c>
      <c r="AQ213" s="577"/>
      <c r="AR213" s="577"/>
      <c r="AS213" s="577"/>
      <c r="AT213" s="220" t="str">
        <f>IFERROR(VLOOKUP(Table_NFI[[#This Row],[Location]],CL,2,0),"")</f>
        <v>MMR015CMP232</v>
      </c>
      <c r="AU213" s="197"/>
    </row>
    <row r="214" spans="2:47" x14ac:dyDescent="0.25">
      <c r="B214" s="575">
        <v>43195</v>
      </c>
      <c r="C214" s="575"/>
      <c r="D214" s="213" t="s">
        <v>1474</v>
      </c>
      <c r="E214" s="213"/>
      <c r="F214" s="213" t="s">
        <v>506</v>
      </c>
      <c r="G214" s="213" t="s">
        <v>297</v>
      </c>
      <c r="H214" s="575" t="s">
        <v>759</v>
      </c>
      <c r="I214" s="715">
        <v>1</v>
      </c>
      <c r="J214" s="576"/>
      <c r="K214" s="576"/>
      <c r="L214" s="576"/>
      <c r="M214" s="576"/>
      <c r="N214" s="576"/>
      <c r="O214" s="576"/>
      <c r="P214" s="576"/>
      <c r="Q214" s="576"/>
      <c r="R214" s="576"/>
      <c r="S214" s="576"/>
      <c r="T214" s="576"/>
      <c r="U214" s="576"/>
      <c r="V214" s="576"/>
      <c r="W214" s="576"/>
      <c r="X214" s="576"/>
      <c r="Y214" s="576"/>
      <c r="Z214" s="576"/>
      <c r="AA214" s="576"/>
      <c r="AB214" s="576"/>
      <c r="AC214" s="577" t="e">
        <f>IF(NFI_Expiration=1,IF(#REF!&lt;VLOOKUP(L$5,NFI,5,0),1,0)*Table_NFI[[#This Row],[NFI Core Kit]],Table_NFI[NFI Core Kit])</f>
        <v>#REF!</v>
      </c>
      <c r="AD214" s="577" t="e">
        <f>IF(NFI_Expiration=1,IF(#REF!&lt;VLOOKUP(M$5,NFI,5,0),1,0)*Table_NFI[[#This Row],[Sanitary Kit]],Table_NFI[Sanitary Kit])</f>
        <v>#REF!</v>
      </c>
      <c r="AE214" s="577" t="e">
        <f>IF(NFI_Expiration=1,IF(#REF!&lt;VLOOKUP(N$5,NFI,5,0),1,0)*Table_NFI[[#This Row],[Mosquito net]],Table_NFI[Mosquito net])</f>
        <v>#REF!</v>
      </c>
      <c r="AF214" s="577" t="e">
        <f>IF(NFI_Expiration=1,IF(#REF!&lt;VLOOKUP(O$5,NFI,5,0),1,0)*Table_NFI[[#This Row],[Tarpaulin]],Table_NFI[[#This Row],[Tarpaulin]])</f>
        <v>#REF!</v>
      </c>
      <c r="AG214" s="577" t="e">
        <f>IF(NFI_Expiration=1,IF(#REF!&lt;VLOOKUP(P$5,NFI,5,0),1,0)*Table_NFI[[#This Row],[Blanket]],Table_NFI[[#This Row],[Blanket]])</f>
        <v>#REF!</v>
      </c>
      <c r="AH214" s="577" t="e">
        <f>IF(NFI_Expiration=1,IF(#REF!&lt;VLOOKUP(Q$5,NFI,5,0),1,0)*Table_NFI[[#This Row],[Kitchen Set]],Table_NFI[Kitchen Set])</f>
        <v>#REF!</v>
      </c>
      <c r="AI214" s="577" t="e">
        <f>IF(NFI_Expiration=1,IF(#REF!&lt;VLOOKUP(R$5,NFI,5,0),1,0)*Table_NFI[[#This Row],[Clothes Kit]],Table_NFI[Clothes Kit])</f>
        <v>#REF!</v>
      </c>
      <c r="AJ214" s="577" t="e">
        <f>IF(NFI_Expiration=1,IF(#REF!&lt;VLOOKUP(S$5,NFI,5,0),1,0)*Table_NFI[[#This Row],[Plastic Bucket]],Table_NFI[Plastic Bucket])</f>
        <v>#REF!</v>
      </c>
      <c r="AK214" s="577" t="e">
        <f>IF(NFI_Expiration=1,IF(#REF!&lt;VLOOKUP(T$5,NFI,5,0),1,0)*Table_NFI[[#This Row],[Plastic Mat]],Table_NFI[Plastic Mat])*IF(Table_NFI[[#This Row],[Distribution Date]]&gt;"2014-04-01",1,2.5)</f>
        <v>#REF!</v>
      </c>
      <c r="AL214" s="577" t="e">
        <f>IF(NFI_Expiration=1,IF(#REF!&lt;VLOOKUP(U$5,NFI,5,0),1,0)*Table_NFI[[#This Row],[Winter Clothes Adult]],Table_NFI[Winter Clothes Adult])</f>
        <v>#REF!</v>
      </c>
      <c r="AM214" s="577"/>
      <c r="AN214" s="577"/>
      <c r="AO214" s="577"/>
      <c r="AP214" s="577">
        <f>IF(Table_NFI[[#This Row],[Winter Clothes Adult]]+Table_NFI[[#This Row],[Winter Clothes Children]]+Table_NFI[[#This Row],[Winter Items Other]]+Table_NFI[[#This Row],[Winter Blanket]]&gt;0,1,0)</f>
        <v>0</v>
      </c>
      <c r="AQ214" s="577"/>
      <c r="AR214" s="577"/>
      <c r="AS214" s="577"/>
      <c r="AT214" s="220" t="str">
        <f>IFERROR(VLOOKUP(Table_NFI[[#This Row],[Location]],CL,2,0),"")</f>
        <v>MMR015CMP014</v>
      </c>
      <c r="AU214" s="197"/>
    </row>
    <row r="215" spans="2:47" x14ac:dyDescent="0.25">
      <c r="B215" s="575">
        <v>43195</v>
      </c>
      <c r="C215" s="575" t="str">
        <f>MONTH(Table_NFI[[#This Row],[Distribution Date]]) &amp; "/" &amp; YEAR(Table_NFI[[#This Row],[Distribution Date]])</f>
        <v>4/2018</v>
      </c>
      <c r="D215" s="213" t="s">
        <v>1474</v>
      </c>
      <c r="E215" s="213"/>
      <c r="F215" s="213" t="s">
        <v>506</v>
      </c>
      <c r="G215" s="213" t="s">
        <v>297</v>
      </c>
      <c r="H215" s="575" t="s">
        <v>1523</v>
      </c>
      <c r="I215" s="715">
        <v>1</v>
      </c>
      <c r="J215" s="576"/>
      <c r="K215" s="576"/>
      <c r="L215" s="576"/>
      <c r="M215" s="576"/>
      <c r="N215" s="576"/>
      <c r="O215" s="576"/>
      <c r="P215" s="576"/>
      <c r="Q215" s="576"/>
      <c r="R215" s="576"/>
      <c r="S215" s="576"/>
      <c r="T215" s="576"/>
      <c r="U215" s="576"/>
      <c r="V215" s="576"/>
      <c r="W215" s="576"/>
      <c r="X215" s="576"/>
      <c r="Y215" s="576"/>
      <c r="Z215" s="576"/>
      <c r="AA215" s="576"/>
      <c r="AB215" s="576"/>
      <c r="AC215" s="577" t="e">
        <f>IF(NFI_Expiration=1,IF(#REF!&lt;VLOOKUP(L$5,NFI,5,0),1,0)*Table_NFI[[#This Row],[NFI Core Kit]],Table_NFI[NFI Core Kit])</f>
        <v>#REF!</v>
      </c>
      <c r="AD215" s="577" t="e">
        <f>IF(NFI_Expiration=1,IF(#REF!&lt;VLOOKUP(M$5,NFI,5,0),1,0)*Table_NFI[[#This Row],[Sanitary Kit]],Table_NFI[Sanitary Kit])</f>
        <v>#REF!</v>
      </c>
      <c r="AE215" s="577" t="e">
        <f>IF(NFI_Expiration=1,IF(#REF!&lt;VLOOKUP(N$5,NFI,5,0),1,0)*Table_NFI[[#This Row],[Mosquito net]],Table_NFI[Mosquito net])</f>
        <v>#REF!</v>
      </c>
      <c r="AF215" s="577" t="e">
        <f>IF(NFI_Expiration=1,IF(#REF!&lt;VLOOKUP(O$5,NFI,5,0),1,0)*Table_NFI[[#This Row],[Tarpaulin]],Table_NFI[[#This Row],[Tarpaulin]])</f>
        <v>#REF!</v>
      </c>
      <c r="AG215" s="577" t="e">
        <f>IF(NFI_Expiration=1,IF(#REF!&lt;VLOOKUP(P$5,NFI,5,0),1,0)*Table_NFI[[#This Row],[Blanket]],Table_NFI[[#This Row],[Blanket]])</f>
        <v>#REF!</v>
      </c>
      <c r="AH215" s="577" t="e">
        <f>IF(NFI_Expiration=1,IF(#REF!&lt;VLOOKUP(Q$5,NFI,5,0),1,0)*Table_NFI[[#This Row],[Kitchen Set]],Table_NFI[Kitchen Set])</f>
        <v>#REF!</v>
      </c>
      <c r="AI215" s="577" t="e">
        <f>IF(NFI_Expiration=1,IF(#REF!&lt;VLOOKUP(R$5,NFI,5,0),1,0)*Table_NFI[[#This Row],[Clothes Kit]],Table_NFI[Clothes Kit])</f>
        <v>#REF!</v>
      </c>
      <c r="AJ215" s="577" t="e">
        <f>IF(NFI_Expiration=1,IF(#REF!&lt;VLOOKUP(S$5,NFI,5,0),1,0)*Table_NFI[[#This Row],[Plastic Bucket]],Table_NFI[Plastic Bucket])</f>
        <v>#REF!</v>
      </c>
      <c r="AK215" s="577" t="e">
        <f>IF(NFI_Expiration=1,IF(#REF!&lt;VLOOKUP(T$5,NFI,5,0),1,0)*Table_NFI[[#This Row],[Plastic Mat]],Table_NFI[Plastic Mat])*IF(Table_NFI[[#This Row],[Distribution Date]]&gt;"2014-04-01",1,2.5)</f>
        <v>#REF!</v>
      </c>
      <c r="AL215" s="577" t="e">
        <f>IF(NFI_Expiration=1,IF(#REF!&lt;VLOOKUP(U$5,NFI,5,0),1,0)*Table_NFI[[#This Row],[Winter Clothes Adult]],Table_NFI[Winter Clothes Adult])</f>
        <v>#REF!</v>
      </c>
      <c r="AM215" s="577"/>
      <c r="AN215" s="577"/>
      <c r="AO215" s="577"/>
      <c r="AP215" s="577">
        <f>IF(Table_NFI[[#This Row],[Winter Clothes Adult]]+Table_NFI[[#This Row],[Winter Clothes Children]]+Table_NFI[[#This Row],[Winter Items Other]]+Table_NFI[[#This Row],[Winter Blanket]]&gt;0,1,0)</f>
        <v>0</v>
      </c>
      <c r="AQ215" s="577"/>
      <c r="AR215" s="577"/>
      <c r="AS215" s="577"/>
      <c r="AT215" s="220" t="str">
        <f>IFERROR(VLOOKUP(Table_NFI[[#This Row],[Location]],CL,2,0),"")</f>
        <v/>
      </c>
      <c r="AU215" s="197"/>
    </row>
    <row r="216" spans="2:47" x14ac:dyDescent="0.25">
      <c r="B216" s="575">
        <v>43195</v>
      </c>
      <c r="C216" s="575" t="str">
        <f>MONTH(Table_NFI[[#This Row],[Distribution Date]]) &amp; "/" &amp; YEAR(Table_NFI[[#This Row],[Distribution Date]])</f>
        <v>4/2018</v>
      </c>
      <c r="D216" s="213" t="s">
        <v>1474</v>
      </c>
      <c r="E216" s="213"/>
      <c r="F216" s="213" t="s">
        <v>506</v>
      </c>
      <c r="G216" s="213" t="s">
        <v>297</v>
      </c>
      <c r="H216" s="575" t="s">
        <v>1523</v>
      </c>
      <c r="I216" s="715">
        <v>1</v>
      </c>
      <c r="J216" s="576"/>
      <c r="K216" s="576"/>
      <c r="L216" s="576"/>
      <c r="M216" s="576"/>
      <c r="N216" s="576"/>
      <c r="O216" s="576"/>
      <c r="P216" s="576"/>
      <c r="Q216" s="576"/>
      <c r="R216" s="576"/>
      <c r="S216" s="576"/>
      <c r="T216" s="576"/>
      <c r="U216" s="576"/>
      <c r="V216" s="576"/>
      <c r="W216" s="576"/>
      <c r="X216" s="576"/>
      <c r="Y216" s="576"/>
      <c r="Z216" s="576"/>
      <c r="AA216" s="576"/>
      <c r="AB216" s="576"/>
      <c r="AC216" s="577" t="e">
        <f>IF(NFI_Expiration=1,IF(#REF!&lt;VLOOKUP(L$5,NFI,5,0),1,0)*Table_NFI[[#This Row],[NFI Core Kit]],Table_NFI[NFI Core Kit])</f>
        <v>#REF!</v>
      </c>
      <c r="AD216" s="577" t="e">
        <f>IF(NFI_Expiration=1,IF(#REF!&lt;VLOOKUP(M$5,NFI,5,0),1,0)*Table_NFI[[#This Row],[Sanitary Kit]],Table_NFI[Sanitary Kit])</f>
        <v>#REF!</v>
      </c>
      <c r="AE216" s="577" t="e">
        <f>IF(NFI_Expiration=1,IF(#REF!&lt;VLOOKUP(N$5,NFI,5,0),1,0)*Table_NFI[[#This Row],[Mosquito net]],Table_NFI[Mosquito net])</f>
        <v>#REF!</v>
      </c>
      <c r="AF216" s="577" t="e">
        <f>IF(NFI_Expiration=1,IF(#REF!&lt;VLOOKUP(O$5,NFI,5,0),1,0)*Table_NFI[[#This Row],[Tarpaulin]],Table_NFI[[#This Row],[Tarpaulin]])</f>
        <v>#REF!</v>
      </c>
      <c r="AG216" s="577" t="e">
        <f>IF(NFI_Expiration=1,IF(#REF!&lt;VLOOKUP(P$5,NFI,5,0),1,0)*Table_NFI[[#This Row],[Blanket]],Table_NFI[[#This Row],[Blanket]])</f>
        <v>#REF!</v>
      </c>
      <c r="AH216" s="577" t="e">
        <f>IF(NFI_Expiration=1,IF(#REF!&lt;VLOOKUP(Q$5,NFI,5,0),1,0)*Table_NFI[[#This Row],[Kitchen Set]],Table_NFI[Kitchen Set])</f>
        <v>#REF!</v>
      </c>
      <c r="AI216" s="577" t="e">
        <f>IF(NFI_Expiration=1,IF(#REF!&lt;VLOOKUP(R$5,NFI,5,0),1,0)*Table_NFI[[#This Row],[Clothes Kit]],Table_NFI[Clothes Kit])</f>
        <v>#REF!</v>
      </c>
      <c r="AJ216" s="577" t="e">
        <f>IF(NFI_Expiration=1,IF(#REF!&lt;VLOOKUP(S$5,NFI,5,0),1,0)*Table_NFI[[#This Row],[Plastic Bucket]],Table_NFI[Plastic Bucket])</f>
        <v>#REF!</v>
      </c>
      <c r="AK216" s="577" t="e">
        <f>IF(NFI_Expiration=1,IF(#REF!&lt;VLOOKUP(T$5,NFI,5,0),1,0)*Table_NFI[[#This Row],[Plastic Mat]],Table_NFI[Plastic Mat])*IF(Table_NFI[[#This Row],[Distribution Date]]&gt;"2014-04-01",1,2.5)</f>
        <v>#REF!</v>
      </c>
      <c r="AL216" s="577" t="e">
        <f>IF(NFI_Expiration=1,IF(#REF!&lt;VLOOKUP(U$5,NFI,5,0),1,0)*Table_NFI[[#This Row],[Winter Clothes Adult]],Table_NFI[Winter Clothes Adult])</f>
        <v>#REF!</v>
      </c>
      <c r="AM216" s="577"/>
      <c r="AN216" s="577"/>
      <c r="AO216" s="577"/>
      <c r="AP216" s="577">
        <f>IF(Table_NFI[[#This Row],[Winter Clothes Adult]]+Table_NFI[[#This Row],[Winter Clothes Children]]+Table_NFI[[#This Row],[Winter Items Other]]+Table_NFI[[#This Row],[Winter Blanket]]&gt;0,1,0)</f>
        <v>0</v>
      </c>
      <c r="AQ216" s="577"/>
      <c r="AR216" s="577"/>
      <c r="AS216" s="577"/>
      <c r="AT216" s="220" t="str">
        <f>IFERROR(VLOOKUP(Table_NFI[[#This Row],[Location]],CL,2,0),"")</f>
        <v/>
      </c>
      <c r="AU216" s="197"/>
    </row>
    <row r="217" spans="2:47" x14ac:dyDescent="0.25">
      <c r="B217" s="575">
        <v>43216</v>
      </c>
      <c r="C217" s="575" t="str">
        <f>MONTH(Table_NFI[[#This Row],[Distribution Date]]) &amp; "/" &amp; YEAR(Table_NFI[[#This Row],[Distribution Date]])</f>
        <v>4/2018</v>
      </c>
      <c r="D217" s="213" t="s">
        <v>1474</v>
      </c>
      <c r="E217" s="213"/>
      <c r="F217" s="213" t="s">
        <v>506</v>
      </c>
      <c r="G217" s="213" t="s">
        <v>297</v>
      </c>
      <c r="H217" s="575" t="s">
        <v>1497</v>
      </c>
      <c r="I217" s="715">
        <v>1</v>
      </c>
      <c r="J217" s="576"/>
      <c r="K217" s="576"/>
      <c r="L217" s="576"/>
      <c r="M217" s="576"/>
      <c r="N217" s="576"/>
      <c r="O217" s="576"/>
      <c r="P217" s="576"/>
      <c r="Q217" s="576"/>
      <c r="R217" s="576"/>
      <c r="S217" s="576"/>
      <c r="T217" s="576"/>
      <c r="U217" s="576"/>
      <c r="V217" s="576"/>
      <c r="W217" s="576"/>
      <c r="X217" s="576"/>
      <c r="Y217" s="576"/>
      <c r="Z217" s="576"/>
      <c r="AA217" s="576"/>
      <c r="AB217" s="576"/>
      <c r="AC217" s="577" t="e">
        <f>IF(NFI_Expiration=1,IF(#REF!&lt;VLOOKUP(L$5,NFI,5,0),1,0)*Table_NFI[[#This Row],[NFI Core Kit]],Table_NFI[NFI Core Kit])</f>
        <v>#REF!</v>
      </c>
      <c r="AD217" s="577" t="e">
        <f>IF(NFI_Expiration=1,IF(#REF!&lt;VLOOKUP(M$5,NFI,5,0),1,0)*Table_NFI[[#This Row],[Sanitary Kit]],Table_NFI[Sanitary Kit])</f>
        <v>#REF!</v>
      </c>
      <c r="AE217" s="577" t="e">
        <f>IF(NFI_Expiration=1,IF(#REF!&lt;VLOOKUP(N$5,NFI,5,0),1,0)*Table_NFI[[#This Row],[Mosquito net]],Table_NFI[Mosquito net])</f>
        <v>#REF!</v>
      </c>
      <c r="AF217" s="577" t="e">
        <f>IF(NFI_Expiration=1,IF(#REF!&lt;VLOOKUP(O$5,NFI,5,0),1,0)*Table_NFI[[#This Row],[Tarpaulin]],Table_NFI[[#This Row],[Tarpaulin]])</f>
        <v>#REF!</v>
      </c>
      <c r="AG217" s="577" t="e">
        <f>IF(NFI_Expiration=1,IF(#REF!&lt;VLOOKUP(P$5,NFI,5,0),1,0)*Table_NFI[[#This Row],[Blanket]],Table_NFI[[#This Row],[Blanket]])</f>
        <v>#REF!</v>
      </c>
      <c r="AH217" s="577" t="e">
        <f>IF(NFI_Expiration=1,IF(#REF!&lt;VLOOKUP(Q$5,NFI,5,0),1,0)*Table_NFI[[#This Row],[Kitchen Set]],Table_NFI[Kitchen Set])</f>
        <v>#REF!</v>
      </c>
      <c r="AI217" s="577" t="e">
        <f>IF(NFI_Expiration=1,IF(#REF!&lt;VLOOKUP(R$5,NFI,5,0),1,0)*Table_NFI[[#This Row],[Clothes Kit]],Table_NFI[Clothes Kit])</f>
        <v>#REF!</v>
      </c>
      <c r="AJ217" s="577" t="e">
        <f>IF(NFI_Expiration=1,IF(#REF!&lt;VLOOKUP(S$5,NFI,5,0),1,0)*Table_NFI[[#This Row],[Plastic Bucket]],Table_NFI[Plastic Bucket])</f>
        <v>#REF!</v>
      </c>
      <c r="AK217" s="577" t="e">
        <f>IF(NFI_Expiration=1,IF(#REF!&lt;VLOOKUP(T$5,NFI,5,0),1,0)*Table_NFI[[#This Row],[Plastic Mat]],Table_NFI[Plastic Mat])*IF(Table_NFI[[#This Row],[Distribution Date]]&gt;"2014-04-01",1,2.5)</f>
        <v>#REF!</v>
      </c>
      <c r="AL217" s="577" t="e">
        <f>IF(NFI_Expiration=1,IF(#REF!&lt;VLOOKUP(U$5,NFI,5,0),1,0)*Table_NFI[[#This Row],[Winter Clothes Adult]],Table_NFI[Winter Clothes Adult])</f>
        <v>#REF!</v>
      </c>
      <c r="AM217" s="577"/>
      <c r="AN217" s="577"/>
      <c r="AO217" s="577"/>
      <c r="AP217" s="577">
        <f>IF(Table_NFI[[#This Row],[Winter Clothes Adult]]+Table_NFI[[#This Row],[Winter Clothes Children]]+Table_NFI[[#This Row],[Winter Items Other]]+Table_NFI[[#This Row],[Winter Blanket]]&gt;0,1,0)</f>
        <v>0</v>
      </c>
      <c r="AQ217" s="577"/>
      <c r="AR217" s="577"/>
      <c r="AS217" s="577"/>
      <c r="AT217" s="220" t="str">
        <f>IFERROR(VLOOKUP(Table_NFI[[#This Row],[Location]],CL,2,0),"")</f>
        <v/>
      </c>
      <c r="AU217" s="197"/>
    </row>
    <row r="218" spans="2:47" x14ac:dyDescent="0.25">
      <c r="B218" s="575">
        <v>43216</v>
      </c>
      <c r="C218" s="575" t="str">
        <f>MONTH(Table_NFI[[#This Row],[Distribution Date]]) &amp; "/" &amp; YEAR(Table_NFI[[#This Row],[Distribution Date]])</f>
        <v>4/2018</v>
      </c>
      <c r="D218" s="213" t="s">
        <v>1474</v>
      </c>
      <c r="E218" s="213"/>
      <c r="F218" s="213" t="s">
        <v>506</v>
      </c>
      <c r="G218" s="213" t="s">
        <v>297</v>
      </c>
      <c r="H218" s="575" t="s">
        <v>1497</v>
      </c>
      <c r="I218" s="715">
        <v>1</v>
      </c>
      <c r="J218" s="576"/>
      <c r="K218" s="576"/>
      <c r="L218" s="715">
        <v>1</v>
      </c>
      <c r="M218" s="576"/>
      <c r="N218" s="576"/>
      <c r="O218" s="576"/>
      <c r="P218" s="576"/>
      <c r="Q218" s="576"/>
      <c r="R218" s="576"/>
      <c r="S218" s="576"/>
      <c r="T218" s="576"/>
      <c r="U218" s="576"/>
      <c r="V218" s="576"/>
      <c r="W218" s="576"/>
      <c r="X218" s="576"/>
      <c r="Y218" s="576"/>
      <c r="Z218" s="576"/>
      <c r="AA218" s="576"/>
      <c r="AB218" s="576"/>
      <c r="AC218" s="577" t="e">
        <f>IF(NFI_Expiration=1,IF(#REF!&lt;VLOOKUP(L$5,NFI,5,0),1,0)*Table_NFI[[#This Row],[NFI Core Kit]],Table_NFI[NFI Core Kit])</f>
        <v>#REF!</v>
      </c>
      <c r="AD218" s="577" t="e">
        <f>IF(NFI_Expiration=1,IF(#REF!&lt;VLOOKUP(M$5,NFI,5,0),1,0)*Table_NFI[[#This Row],[Sanitary Kit]],Table_NFI[Sanitary Kit])</f>
        <v>#REF!</v>
      </c>
      <c r="AE218" s="577" t="e">
        <f>IF(NFI_Expiration=1,IF(#REF!&lt;VLOOKUP(N$5,NFI,5,0),1,0)*Table_NFI[[#This Row],[Mosquito net]],Table_NFI[Mosquito net])</f>
        <v>#REF!</v>
      </c>
      <c r="AF218" s="577" t="e">
        <f>IF(NFI_Expiration=1,IF(#REF!&lt;VLOOKUP(O$5,NFI,5,0),1,0)*Table_NFI[[#This Row],[Tarpaulin]],Table_NFI[[#This Row],[Tarpaulin]])</f>
        <v>#REF!</v>
      </c>
      <c r="AG218" s="577" t="e">
        <f>IF(NFI_Expiration=1,IF(#REF!&lt;VLOOKUP(P$5,NFI,5,0),1,0)*Table_NFI[[#This Row],[Blanket]],Table_NFI[[#This Row],[Blanket]])</f>
        <v>#REF!</v>
      </c>
      <c r="AH218" s="577" t="e">
        <f>IF(NFI_Expiration=1,IF(#REF!&lt;VLOOKUP(Q$5,NFI,5,0),1,0)*Table_NFI[[#This Row],[Kitchen Set]],Table_NFI[Kitchen Set])</f>
        <v>#REF!</v>
      </c>
      <c r="AI218" s="577" t="e">
        <f>IF(NFI_Expiration=1,IF(#REF!&lt;VLOOKUP(R$5,NFI,5,0),1,0)*Table_NFI[[#This Row],[Clothes Kit]],Table_NFI[Clothes Kit])</f>
        <v>#REF!</v>
      </c>
      <c r="AJ218" s="577" t="e">
        <f>IF(NFI_Expiration=1,IF(#REF!&lt;VLOOKUP(S$5,NFI,5,0),1,0)*Table_NFI[[#This Row],[Plastic Bucket]],Table_NFI[Plastic Bucket])</f>
        <v>#REF!</v>
      </c>
      <c r="AK218" s="577" t="e">
        <f>IF(NFI_Expiration=1,IF(#REF!&lt;VLOOKUP(T$5,NFI,5,0),1,0)*Table_NFI[[#This Row],[Plastic Mat]],Table_NFI[Plastic Mat])*IF(Table_NFI[[#This Row],[Distribution Date]]&gt;"2014-04-01",1,2.5)</f>
        <v>#REF!</v>
      </c>
      <c r="AL218" s="577" t="e">
        <f>IF(NFI_Expiration=1,IF(#REF!&lt;VLOOKUP(U$5,NFI,5,0),1,0)*Table_NFI[[#This Row],[Winter Clothes Adult]],Table_NFI[Winter Clothes Adult])</f>
        <v>#REF!</v>
      </c>
      <c r="AM218" s="577"/>
      <c r="AN218" s="577"/>
      <c r="AO218" s="577"/>
      <c r="AP218" s="577">
        <f>IF(Table_NFI[[#This Row],[Winter Clothes Adult]]+Table_NFI[[#This Row],[Winter Clothes Children]]+Table_NFI[[#This Row],[Winter Items Other]]+Table_NFI[[#This Row],[Winter Blanket]]&gt;0,1,0)</f>
        <v>0</v>
      </c>
      <c r="AQ218" s="577"/>
      <c r="AR218" s="577"/>
      <c r="AS218" s="577"/>
      <c r="AT218" s="220" t="str">
        <f>IFERROR(VLOOKUP(Table_NFI[[#This Row],[Location]],CL,2,0),"")</f>
        <v/>
      </c>
      <c r="AU218" s="197"/>
    </row>
    <row r="219" spans="2:47" x14ac:dyDescent="0.25">
      <c r="B219" s="575">
        <v>43201</v>
      </c>
      <c r="C219" s="575" t="str">
        <f>MONTH(Table_NFI[[#This Row],[Distribution Date]]) &amp; "/" &amp; YEAR(Table_NFI[[#This Row],[Distribution Date]])</f>
        <v>4/2018</v>
      </c>
      <c r="D219" s="213" t="s">
        <v>1474</v>
      </c>
      <c r="E219" s="213"/>
      <c r="F219" s="213" t="s">
        <v>506</v>
      </c>
      <c r="G219" s="213" t="s">
        <v>297</v>
      </c>
      <c r="H219" s="575" t="s">
        <v>759</v>
      </c>
      <c r="I219" s="715"/>
      <c r="J219" s="576"/>
      <c r="K219" s="576"/>
      <c r="L219" s="715">
        <v>1</v>
      </c>
      <c r="M219" s="576"/>
      <c r="N219" s="576"/>
      <c r="O219" s="576"/>
      <c r="P219" s="576"/>
      <c r="Q219" s="576"/>
      <c r="R219" s="576"/>
      <c r="S219" s="576"/>
      <c r="T219" s="576"/>
      <c r="U219" s="576"/>
      <c r="V219" s="576"/>
      <c r="W219" s="576"/>
      <c r="X219" s="576"/>
      <c r="Y219" s="576"/>
      <c r="Z219" s="576"/>
      <c r="AA219" s="576"/>
      <c r="AB219" s="576"/>
      <c r="AC219" s="577" t="e">
        <f>IF(NFI_Expiration=1,IF(#REF!&lt;VLOOKUP(L$5,NFI,5,0),1,0)*Table_NFI[[#This Row],[NFI Core Kit]],Table_NFI[NFI Core Kit])</f>
        <v>#REF!</v>
      </c>
      <c r="AD219" s="577" t="e">
        <f>IF(NFI_Expiration=1,IF(#REF!&lt;VLOOKUP(M$5,NFI,5,0),1,0)*Table_NFI[[#This Row],[Sanitary Kit]],Table_NFI[Sanitary Kit])</f>
        <v>#REF!</v>
      </c>
      <c r="AE219" s="577" t="e">
        <f>IF(NFI_Expiration=1,IF(#REF!&lt;VLOOKUP(N$5,NFI,5,0),1,0)*Table_NFI[[#This Row],[Mosquito net]],Table_NFI[Mosquito net])</f>
        <v>#REF!</v>
      </c>
      <c r="AF219" s="577" t="e">
        <f>IF(NFI_Expiration=1,IF(#REF!&lt;VLOOKUP(O$5,NFI,5,0),1,0)*Table_NFI[[#This Row],[Tarpaulin]],Table_NFI[[#This Row],[Tarpaulin]])</f>
        <v>#REF!</v>
      </c>
      <c r="AG219" s="577" t="e">
        <f>IF(NFI_Expiration=1,IF(#REF!&lt;VLOOKUP(P$5,NFI,5,0),1,0)*Table_NFI[[#This Row],[Blanket]],Table_NFI[[#This Row],[Blanket]])</f>
        <v>#REF!</v>
      </c>
      <c r="AH219" s="577" t="e">
        <f>IF(NFI_Expiration=1,IF(#REF!&lt;VLOOKUP(Q$5,NFI,5,0),1,0)*Table_NFI[[#This Row],[Kitchen Set]],Table_NFI[Kitchen Set])</f>
        <v>#REF!</v>
      </c>
      <c r="AI219" s="577" t="e">
        <f>IF(NFI_Expiration=1,IF(#REF!&lt;VLOOKUP(R$5,NFI,5,0),1,0)*Table_NFI[[#This Row],[Clothes Kit]],Table_NFI[Clothes Kit])</f>
        <v>#REF!</v>
      </c>
      <c r="AJ219" s="577" t="e">
        <f>IF(NFI_Expiration=1,IF(#REF!&lt;VLOOKUP(S$5,NFI,5,0),1,0)*Table_NFI[[#This Row],[Plastic Bucket]],Table_NFI[Plastic Bucket])</f>
        <v>#REF!</v>
      </c>
      <c r="AK219" s="577" t="e">
        <f>IF(NFI_Expiration=1,IF(#REF!&lt;VLOOKUP(T$5,NFI,5,0),1,0)*Table_NFI[[#This Row],[Plastic Mat]],Table_NFI[Plastic Mat])*IF(Table_NFI[[#This Row],[Distribution Date]]&gt;"2014-04-01",1,2.5)</f>
        <v>#REF!</v>
      </c>
      <c r="AL219" s="577" t="e">
        <f>IF(NFI_Expiration=1,IF(#REF!&lt;VLOOKUP(U$5,NFI,5,0),1,0)*Table_NFI[[#This Row],[Winter Clothes Adult]],Table_NFI[Winter Clothes Adult])</f>
        <v>#REF!</v>
      </c>
      <c r="AM219" s="577"/>
      <c r="AN219" s="577"/>
      <c r="AO219" s="577"/>
      <c r="AP219" s="577">
        <f>IF(Table_NFI[[#This Row],[Winter Clothes Adult]]+Table_NFI[[#This Row],[Winter Clothes Children]]+Table_NFI[[#This Row],[Winter Items Other]]+Table_NFI[[#This Row],[Winter Blanket]]&gt;0,1,0)</f>
        <v>0</v>
      </c>
      <c r="AQ219" s="577"/>
      <c r="AR219" s="577"/>
      <c r="AS219" s="577"/>
      <c r="AT219" s="220" t="str">
        <f>IFERROR(VLOOKUP(Table_NFI[[#This Row],[Location]],CL,2,0),"")</f>
        <v>MMR015CMP014</v>
      </c>
      <c r="AU219" s="197"/>
    </row>
    <row r="220" spans="2:47" x14ac:dyDescent="0.25">
      <c r="B220" s="575">
        <v>43201</v>
      </c>
      <c r="C220" s="575" t="str">
        <f>MONTH(Table_NFI[[#This Row],[Distribution Date]]) &amp; "/" &amp; YEAR(Table_NFI[[#This Row],[Distribution Date]])</f>
        <v>4/2018</v>
      </c>
      <c r="D220" s="213" t="s">
        <v>1474</v>
      </c>
      <c r="E220" s="213"/>
      <c r="F220" s="213" t="s">
        <v>506</v>
      </c>
      <c r="G220" s="213" t="s">
        <v>297</v>
      </c>
      <c r="H220" s="575" t="s">
        <v>1192</v>
      </c>
      <c r="I220" s="715"/>
      <c r="J220" s="576"/>
      <c r="K220" s="576"/>
      <c r="L220" s="715">
        <v>1</v>
      </c>
      <c r="M220" s="576"/>
      <c r="N220" s="576"/>
      <c r="O220" s="576"/>
      <c r="P220" s="576"/>
      <c r="Q220" s="576"/>
      <c r="R220" s="576"/>
      <c r="S220" s="576"/>
      <c r="T220" s="576"/>
      <c r="U220" s="576"/>
      <c r="V220" s="576"/>
      <c r="W220" s="576"/>
      <c r="X220" s="576"/>
      <c r="Y220" s="576"/>
      <c r="Z220" s="576"/>
      <c r="AA220" s="576"/>
      <c r="AB220" s="576"/>
      <c r="AC220" s="577" t="e">
        <f>IF(NFI_Expiration=1,IF(#REF!&lt;VLOOKUP(L$5,NFI,5,0),1,0)*Table_NFI[[#This Row],[NFI Core Kit]],Table_NFI[NFI Core Kit])</f>
        <v>#REF!</v>
      </c>
      <c r="AD220" s="577" t="e">
        <f>IF(NFI_Expiration=1,IF(#REF!&lt;VLOOKUP(M$5,NFI,5,0),1,0)*Table_NFI[[#This Row],[Sanitary Kit]],Table_NFI[Sanitary Kit])</f>
        <v>#REF!</v>
      </c>
      <c r="AE220" s="577" t="e">
        <f>IF(NFI_Expiration=1,IF(#REF!&lt;VLOOKUP(N$5,NFI,5,0),1,0)*Table_NFI[[#This Row],[Mosquito net]],Table_NFI[Mosquito net])</f>
        <v>#REF!</v>
      </c>
      <c r="AF220" s="577" t="e">
        <f>IF(NFI_Expiration=1,IF(#REF!&lt;VLOOKUP(O$5,NFI,5,0),1,0)*Table_NFI[[#This Row],[Tarpaulin]],Table_NFI[[#This Row],[Tarpaulin]])</f>
        <v>#REF!</v>
      </c>
      <c r="AG220" s="577" t="e">
        <f>IF(NFI_Expiration=1,IF(#REF!&lt;VLOOKUP(P$5,NFI,5,0),1,0)*Table_NFI[[#This Row],[Blanket]],Table_NFI[[#This Row],[Blanket]])</f>
        <v>#REF!</v>
      </c>
      <c r="AH220" s="577" t="e">
        <f>IF(NFI_Expiration=1,IF(#REF!&lt;VLOOKUP(Q$5,NFI,5,0),1,0)*Table_NFI[[#This Row],[Kitchen Set]],Table_NFI[Kitchen Set])</f>
        <v>#REF!</v>
      </c>
      <c r="AI220" s="577" t="e">
        <f>IF(NFI_Expiration=1,IF(#REF!&lt;VLOOKUP(R$5,NFI,5,0),1,0)*Table_NFI[[#This Row],[Clothes Kit]],Table_NFI[Clothes Kit])</f>
        <v>#REF!</v>
      </c>
      <c r="AJ220" s="577" t="e">
        <f>IF(NFI_Expiration=1,IF(#REF!&lt;VLOOKUP(S$5,NFI,5,0),1,0)*Table_NFI[[#This Row],[Plastic Bucket]],Table_NFI[Plastic Bucket])</f>
        <v>#REF!</v>
      </c>
      <c r="AK220" s="577" t="e">
        <f>IF(NFI_Expiration=1,IF(#REF!&lt;VLOOKUP(T$5,NFI,5,0),1,0)*Table_NFI[[#This Row],[Plastic Mat]],Table_NFI[Plastic Mat])*IF(Table_NFI[[#This Row],[Distribution Date]]&gt;"2014-04-01",1,2.5)</f>
        <v>#REF!</v>
      </c>
      <c r="AL220" s="577" t="e">
        <f>IF(NFI_Expiration=1,IF(#REF!&lt;VLOOKUP(U$5,NFI,5,0),1,0)*Table_NFI[[#This Row],[Winter Clothes Adult]],Table_NFI[Winter Clothes Adult])</f>
        <v>#REF!</v>
      </c>
      <c r="AM220" s="577"/>
      <c r="AN220" s="577"/>
      <c r="AO220" s="577"/>
      <c r="AP220" s="577">
        <f>IF(Table_NFI[[#This Row],[Winter Clothes Adult]]+Table_NFI[[#This Row],[Winter Clothes Children]]+Table_NFI[[#This Row],[Winter Items Other]]+Table_NFI[[#This Row],[Winter Blanket]]&gt;0,1,0)</f>
        <v>0</v>
      </c>
      <c r="AQ220" s="577"/>
      <c r="AR220" s="577"/>
      <c r="AS220" s="577"/>
      <c r="AT220" s="220" t="str">
        <f>IFERROR(VLOOKUP(Table_NFI[[#This Row],[Location]],CL,2,0),"")</f>
        <v>MMR015CMP232</v>
      </c>
      <c r="AU220" s="197"/>
    </row>
    <row r="221" spans="2:47" x14ac:dyDescent="0.25">
      <c r="B221" s="575">
        <v>43201</v>
      </c>
      <c r="C221" s="575" t="str">
        <f>MONTH(Table_NFI[[#This Row],[Distribution Date]]) &amp; "/" &amp; YEAR(Table_NFI[[#This Row],[Distribution Date]])</f>
        <v>4/2018</v>
      </c>
      <c r="D221" s="213" t="s">
        <v>1474</v>
      </c>
      <c r="E221" s="213"/>
      <c r="F221" s="213" t="s">
        <v>378</v>
      </c>
      <c r="G221" s="213" t="s">
        <v>151</v>
      </c>
      <c r="H221" s="575" t="s">
        <v>1523</v>
      </c>
      <c r="I221" s="715"/>
      <c r="J221" s="576"/>
      <c r="K221" s="576"/>
      <c r="L221" s="576"/>
      <c r="M221" s="576"/>
      <c r="N221" s="576"/>
      <c r="O221" s="576"/>
      <c r="P221" s="576"/>
      <c r="Q221" s="576"/>
      <c r="R221" s="576"/>
      <c r="S221" s="576"/>
      <c r="T221" s="576"/>
      <c r="U221" s="576"/>
      <c r="V221" s="576"/>
      <c r="W221" s="576"/>
      <c r="X221" s="576"/>
      <c r="Y221" s="576"/>
      <c r="Z221" s="576"/>
      <c r="AA221" s="576"/>
      <c r="AB221" s="576"/>
      <c r="AC221" s="577" t="e">
        <f>IF(NFI_Expiration=1,IF(#REF!&lt;VLOOKUP(L$5,NFI,5,0),1,0)*Table_NFI[[#This Row],[NFI Core Kit]],Table_NFI[NFI Core Kit])</f>
        <v>#REF!</v>
      </c>
      <c r="AD221" s="577" t="e">
        <f>IF(NFI_Expiration=1,IF(#REF!&lt;VLOOKUP(M$5,NFI,5,0),1,0)*Table_NFI[[#This Row],[Sanitary Kit]],Table_NFI[Sanitary Kit])</f>
        <v>#REF!</v>
      </c>
      <c r="AE221" s="577" t="e">
        <f>IF(NFI_Expiration=1,IF(#REF!&lt;VLOOKUP(N$5,NFI,5,0),1,0)*Table_NFI[[#This Row],[Mosquito net]],Table_NFI[Mosquito net])</f>
        <v>#REF!</v>
      </c>
      <c r="AF221" s="577" t="e">
        <f>IF(NFI_Expiration=1,IF(#REF!&lt;VLOOKUP(O$5,NFI,5,0),1,0)*Table_NFI[[#This Row],[Tarpaulin]],Table_NFI[[#This Row],[Tarpaulin]])</f>
        <v>#REF!</v>
      </c>
      <c r="AG221" s="577" t="e">
        <f>IF(NFI_Expiration=1,IF(#REF!&lt;VLOOKUP(P$5,NFI,5,0),1,0)*Table_NFI[[#This Row],[Blanket]],Table_NFI[[#This Row],[Blanket]])</f>
        <v>#REF!</v>
      </c>
      <c r="AH221" s="577" t="e">
        <f>IF(NFI_Expiration=1,IF(#REF!&lt;VLOOKUP(Q$5,NFI,5,0),1,0)*Table_NFI[[#This Row],[Kitchen Set]],Table_NFI[Kitchen Set])</f>
        <v>#REF!</v>
      </c>
      <c r="AI221" s="577" t="e">
        <f>IF(NFI_Expiration=1,IF(#REF!&lt;VLOOKUP(R$5,NFI,5,0),1,0)*Table_NFI[[#This Row],[Clothes Kit]],Table_NFI[Clothes Kit])</f>
        <v>#REF!</v>
      </c>
      <c r="AJ221" s="577" t="e">
        <f>IF(NFI_Expiration=1,IF(#REF!&lt;VLOOKUP(S$5,NFI,5,0),1,0)*Table_NFI[[#This Row],[Plastic Bucket]],Table_NFI[Plastic Bucket])</f>
        <v>#REF!</v>
      </c>
      <c r="AK221" s="577" t="e">
        <f>IF(NFI_Expiration=1,IF(#REF!&lt;VLOOKUP(T$5,NFI,5,0),1,0)*Table_NFI[[#This Row],[Plastic Mat]],Table_NFI[Plastic Mat])*IF(Table_NFI[[#This Row],[Distribution Date]]&gt;"2014-04-01",1,2.5)</f>
        <v>#REF!</v>
      </c>
      <c r="AL221" s="577" t="e">
        <f>IF(NFI_Expiration=1,IF(#REF!&lt;VLOOKUP(U$5,NFI,5,0),1,0)*Table_NFI[[#This Row],[Winter Clothes Adult]],Table_NFI[Winter Clothes Adult])</f>
        <v>#REF!</v>
      </c>
      <c r="AM221" s="577"/>
      <c r="AN221" s="577"/>
      <c r="AO221" s="577"/>
      <c r="AP221" s="577">
        <f>IF(Table_NFI[[#This Row],[Winter Clothes Adult]]+Table_NFI[[#This Row],[Winter Clothes Children]]+Table_NFI[[#This Row],[Winter Items Other]]+Table_NFI[[#This Row],[Winter Blanket]]&gt;0,1,0)</f>
        <v>0</v>
      </c>
      <c r="AQ221" s="577"/>
      <c r="AR221" s="577"/>
      <c r="AS221" s="577"/>
      <c r="AT221" s="220" t="str">
        <f>IFERROR(VLOOKUP(Table_NFI[[#This Row],[Location]],CL,2,0),"")</f>
        <v/>
      </c>
      <c r="AU221" s="197"/>
    </row>
    <row r="222" spans="2:47" x14ac:dyDescent="0.3">
      <c r="B222" s="575">
        <v>43200</v>
      </c>
      <c r="C222" s="575"/>
      <c r="D222" s="213" t="s">
        <v>462</v>
      </c>
      <c r="E222" s="213" t="s">
        <v>420</v>
      </c>
      <c r="F222" s="213" t="s">
        <v>378</v>
      </c>
      <c r="G222" s="213" t="s">
        <v>237</v>
      </c>
      <c r="H222" s="575" t="s">
        <v>1031</v>
      </c>
      <c r="I222" s="197"/>
      <c r="J222" s="576"/>
      <c r="K222" s="576"/>
      <c r="L222" s="576">
        <v>3</v>
      </c>
      <c r="M222" s="576">
        <v>2</v>
      </c>
      <c r="N222" s="576">
        <v>6</v>
      </c>
      <c r="O222" s="576">
        <v>3</v>
      </c>
      <c r="P222" s="576">
        <v>6</v>
      </c>
      <c r="Q222" s="576">
        <v>3</v>
      </c>
      <c r="R222" s="576"/>
      <c r="S222" s="576">
        <v>3</v>
      </c>
      <c r="T222" s="576">
        <v>7</v>
      </c>
      <c r="U222" s="576"/>
      <c r="V222" s="576"/>
      <c r="W222" s="576"/>
      <c r="X222" s="576"/>
      <c r="Y222" s="576">
        <v>3</v>
      </c>
      <c r="Z222" s="576"/>
      <c r="AA222" s="576"/>
      <c r="AB222" s="576"/>
      <c r="AC222" s="577" t="e">
        <f>IF(NFI_Expiration=1,IF(#REF!&lt;VLOOKUP(L$5,NFI,5,0),1,0)*Table_NFI[[#This Row],[NFI Core Kit]],Table_NFI[NFI Core Kit])</f>
        <v>#REF!</v>
      </c>
      <c r="AD222" s="577" t="e">
        <f>IF(NFI_Expiration=1,IF(#REF!&lt;VLOOKUP(M$5,NFI,5,0),1,0)*Table_NFI[[#This Row],[Sanitary Kit]],Table_NFI[Sanitary Kit])</f>
        <v>#REF!</v>
      </c>
      <c r="AE222" s="577" t="e">
        <f>IF(NFI_Expiration=1,IF(#REF!&lt;VLOOKUP(N$5,NFI,5,0),1,0)*Table_NFI[[#This Row],[Mosquito net]],Table_NFI[Mosquito net])</f>
        <v>#REF!</v>
      </c>
      <c r="AF222" s="577" t="e">
        <f>IF(NFI_Expiration=1,IF(#REF!&lt;VLOOKUP(O$5,NFI,5,0),1,0)*Table_NFI[[#This Row],[Tarpaulin]],Table_NFI[[#This Row],[Tarpaulin]])</f>
        <v>#REF!</v>
      </c>
      <c r="AG222" s="577" t="e">
        <f>IF(NFI_Expiration=1,IF(#REF!&lt;VLOOKUP(P$5,NFI,5,0),1,0)*Table_NFI[[#This Row],[Blanket]],Table_NFI[[#This Row],[Blanket]])</f>
        <v>#REF!</v>
      </c>
      <c r="AH222" s="577" t="e">
        <f>IF(NFI_Expiration=1,IF(#REF!&lt;VLOOKUP(Q$5,NFI,5,0),1,0)*Table_NFI[[#This Row],[Kitchen Set]],Table_NFI[Kitchen Set])</f>
        <v>#REF!</v>
      </c>
      <c r="AI222" s="577" t="e">
        <f>IF(NFI_Expiration=1,IF(#REF!&lt;VLOOKUP(R$5,NFI,5,0),1,0)*Table_NFI[[#This Row],[Clothes Kit]],Table_NFI[Clothes Kit])</f>
        <v>#REF!</v>
      </c>
      <c r="AJ222" s="577" t="e">
        <f>IF(NFI_Expiration=1,IF(#REF!&lt;VLOOKUP(S$5,NFI,5,0),1,0)*Table_NFI[[#This Row],[Plastic Bucket]],Table_NFI[Plastic Bucket])</f>
        <v>#REF!</v>
      </c>
      <c r="AK222" s="577" t="e">
        <f>IF(NFI_Expiration=1,IF(#REF!&lt;VLOOKUP(T$5,NFI,5,0),1,0)*Table_NFI[[#This Row],[Plastic Mat]],Table_NFI[Plastic Mat])*IF(Table_NFI[[#This Row],[Distribution Date]]&gt;"2014-04-01",1,2.5)</f>
        <v>#REF!</v>
      </c>
      <c r="AL222" s="577" t="e">
        <f>IF(NFI_Expiration=1,IF(#REF!&lt;VLOOKUP(U$5,NFI,5,0),1,0)*Table_NFI[[#This Row],[Winter Clothes Adult]],Table_NFI[Winter Clothes Adult])</f>
        <v>#REF!</v>
      </c>
      <c r="AM222" s="577"/>
      <c r="AN222" s="577"/>
      <c r="AO222" s="577"/>
      <c r="AP222" s="577">
        <f>IF(Table_NFI[[#This Row],[Winter Clothes Adult]]+Table_NFI[[#This Row],[Winter Clothes Children]]+Table_NFI[[#This Row],[Winter Items Other]]+Table_NFI[[#This Row],[Winter Blanket]]&gt;0,1,0)</f>
        <v>0</v>
      </c>
      <c r="AQ222" s="577"/>
      <c r="AR222" s="577"/>
      <c r="AS222" s="577"/>
      <c r="AT222" s="220" t="str">
        <f>IFERROR(VLOOKUP(Table_NFI[[#This Row],[Location]],CL,2,0),"")</f>
        <v>MMR001CMP023</v>
      </c>
      <c r="AU222" s="197"/>
    </row>
    <row r="223" spans="2:47" x14ac:dyDescent="0.3">
      <c r="B223" s="575">
        <v>43200</v>
      </c>
      <c r="C223" s="575" t="str">
        <f>MONTH(Table_NFI[[#This Row],[Distribution Date]]) &amp; "/" &amp; YEAR(Table_NFI[[#This Row],[Distribution Date]])</f>
        <v>4/2018</v>
      </c>
      <c r="D223" s="213" t="s">
        <v>462</v>
      </c>
      <c r="E223" s="213" t="s">
        <v>420</v>
      </c>
      <c r="F223" s="213" t="s">
        <v>378</v>
      </c>
      <c r="G223" s="213" t="s">
        <v>309</v>
      </c>
      <c r="H223" s="213" t="s">
        <v>317</v>
      </c>
      <c r="I223" s="197"/>
      <c r="J223" s="576"/>
      <c r="K223" s="576"/>
      <c r="L223" s="576">
        <v>2</v>
      </c>
      <c r="M223" s="576">
        <v>2</v>
      </c>
      <c r="N223" s="576">
        <v>7</v>
      </c>
      <c r="O223" s="576">
        <v>2</v>
      </c>
      <c r="P223" s="576">
        <v>7</v>
      </c>
      <c r="Q223" s="576">
        <v>2</v>
      </c>
      <c r="R223" s="576"/>
      <c r="S223" s="576">
        <v>2</v>
      </c>
      <c r="T223" s="576">
        <v>10</v>
      </c>
      <c r="U223" s="576"/>
      <c r="V223" s="576"/>
      <c r="W223" s="576"/>
      <c r="X223" s="576"/>
      <c r="Y223" s="576">
        <v>2</v>
      </c>
      <c r="Z223" s="576"/>
      <c r="AA223" s="576"/>
      <c r="AB223" s="576"/>
      <c r="AC223" s="577" t="e">
        <f>IF(NFI_Expiration=1,IF(#REF!&lt;VLOOKUP(L$5,NFI,5,0),1,0)*Table_NFI[[#This Row],[NFI Core Kit]],Table_NFI[NFI Core Kit])</f>
        <v>#REF!</v>
      </c>
      <c r="AD223" s="577" t="e">
        <f>IF(NFI_Expiration=1,IF(#REF!&lt;VLOOKUP(M$5,NFI,5,0),1,0)*Table_NFI[[#This Row],[Sanitary Kit]],Table_NFI[Sanitary Kit])</f>
        <v>#REF!</v>
      </c>
      <c r="AE223" s="577" t="e">
        <f>IF(NFI_Expiration=1,IF(#REF!&lt;VLOOKUP(N$5,NFI,5,0),1,0)*Table_NFI[[#This Row],[Mosquito net]],Table_NFI[Mosquito net])</f>
        <v>#REF!</v>
      </c>
      <c r="AF223" s="577" t="e">
        <f>IF(NFI_Expiration=1,IF(#REF!&lt;VLOOKUP(O$5,NFI,5,0),1,0)*Table_NFI[[#This Row],[Tarpaulin]],Table_NFI[[#This Row],[Tarpaulin]])</f>
        <v>#REF!</v>
      </c>
      <c r="AG223" s="577" t="e">
        <f>IF(NFI_Expiration=1,IF(#REF!&lt;VLOOKUP(P$5,NFI,5,0),1,0)*Table_NFI[[#This Row],[Blanket]],Table_NFI[[#This Row],[Blanket]])</f>
        <v>#REF!</v>
      </c>
      <c r="AH223" s="577" t="e">
        <f>IF(NFI_Expiration=1,IF(#REF!&lt;VLOOKUP(Q$5,NFI,5,0),1,0)*Table_NFI[[#This Row],[Kitchen Set]],Table_NFI[Kitchen Set])</f>
        <v>#REF!</v>
      </c>
      <c r="AI223" s="577" t="e">
        <f>IF(NFI_Expiration=1,IF(#REF!&lt;VLOOKUP(R$5,NFI,5,0),1,0)*Table_NFI[[#This Row],[Clothes Kit]],Table_NFI[Clothes Kit])</f>
        <v>#REF!</v>
      </c>
      <c r="AJ223" s="577" t="e">
        <f>IF(NFI_Expiration=1,IF(#REF!&lt;VLOOKUP(S$5,NFI,5,0),1,0)*Table_NFI[[#This Row],[Plastic Bucket]],Table_NFI[Plastic Bucket])</f>
        <v>#REF!</v>
      </c>
      <c r="AK223" s="577" t="e">
        <f>IF(NFI_Expiration=1,IF(#REF!&lt;VLOOKUP(T$5,NFI,5,0),1,0)*Table_NFI[[#This Row],[Plastic Mat]],Table_NFI[Plastic Mat])*IF(Table_NFI[[#This Row],[Distribution Date]]&gt;"2014-04-01",1,2.5)</f>
        <v>#REF!</v>
      </c>
      <c r="AL223" s="577" t="e">
        <f>IF(NFI_Expiration=1,IF(#REF!&lt;VLOOKUP(U$5,NFI,5,0),1,0)*Table_NFI[[#This Row],[Winter Clothes Adult]],Table_NFI[Winter Clothes Adult])</f>
        <v>#REF!</v>
      </c>
      <c r="AM223" s="577"/>
      <c r="AN223" s="577"/>
      <c r="AO223" s="577"/>
      <c r="AP223" s="577">
        <f>IF(Table_NFI[[#This Row],[Winter Clothes Adult]]+Table_NFI[[#This Row],[Winter Clothes Children]]+Table_NFI[[#This Row],[Winter Items Other]]+Table_NFI[[#This Row],[Winter Blanket]]&gt;0,1,0)</f>
        <v>0</v>
      </c>
      <c r="AQ223" s="577"/>
      <c r="AR223" s="577"/>
      <c r="AS223" s="577"/>
      <c r="AT223" s="220" t="str">
        <f>IFERROR(VLOOKUP(Table_NFI[[#This Row],[Location]],CL,2,0),"")</f>
        <v>MMR001CMP032</v>
      </c>
      <c r="AU223" s="197"/>
    </row>
    <row r="224" spans="2:47" x14ac:dyDescent="0.3">
      <c r="B224" s="575">
        <v>43217</v>
      </c>
      <c r="C224" s="575" t="str">
        <f>MONTH(Table_NFI[[#This Row],[Distribution Date]]) &amp; "/" &amp; YEAR(Table_NFI[[#This Row],[Distribution Date]])</f>
        <v>4/2018</v>
      </c>
      <c r="D224" s="213" t="s">
        <v>424</v>
      </c>
      <c r="E224" s="213"/>
      <c r="F224" s="213" t="s">
        <v>378</v>
      </c>
      <c r="G224" s="213" t="s">
        <v>237</v>
      </c>
      <c r="H224" s="235" t="s">
        <v>1797</v>
      </c>
      <c r="I224" s="197"/>
      <c r="J224" s="576"/>
      <c r="K224" s="576"/>
      <c r="L224" s="576"/>
      <c r="M224" s="576"/>
      <c r="N224" s="719">
        <v>412</v>
      </c>
      <c r="O224" s="718">
        <v>254</v>
      </c>
      <c r="P224" s="576"/>
      <c r="Q224" s="576"/>
      <c r="R224" s="576"/>
      <c r="S224" s="718">
        <v>166</v>
      </c>
      <c r="T224" s="576">
        <v>254</v>
      </c>
      <c r="U224" s="576"/>
      <c r="V224" s="576"/>
      <c r="W224" s="576"/>
      <c r="X224" s="576"/>
      <c r="Y224" s="576"/>
      <c r="Z224" s="576"/>
      <c r="AA224" s="576"/>
      <c r="AB224" s="576"/>
      <c r="AC224" s="577" t="e">
        <f>IF(NFI_Expiration=1,IF(#REF!&lt;VLOOKUP(L$5,NFI,5,0),1,0)*Table_NFI[[#This Row],[NFI Core Kit]],Table_NFI[NFI Core Kit])</f>
        <v>#REF!</v>
      </c>
      <c r="AD224" s="577" t="e">
        <f>IF(NFI_Expiration=1,IF(#REF!&lt;VLOOKUP(M$5,NFI,5,0),1,0)*Table_NFI[[#This Row],[Sanitary Kit]],Table_NFI[Sanitary Kit])</f>
        <v>#REF!</v>
      </c>
      <c r="AE224" s="577" t="e">
        <f>IF(NFI_Expiration=1,IF(#REF!&lt;VLOOKUP(N$5,NFI,5,0),1,0)*Table_NFI[[#This Row],[Mosquito net]],Table_NFI[Mosquito net])</f>
        <v>#REF!</v>
      </c>
      <c r="AF224" s="577" t="e">
        <f>IF(NFI_Expiration=1,IF(#REF!&lt;VLOOKUP(O$5,NFI,5,0),1,0)*Table_NFI[[#This Row],[Tarpaulin]],Table_NFI[[#This Row],[Tarpaulin]])</f>
        <v>#REF!</v>
      </c>
      <c r="AG224" s="577" t="e">
        <f>IF(NFI_Expiration=1,IF(#REF!&lt;VLOOKUP(P$5,NFI,5,0),1,0)*Table_NFI[[#This Row],[Blanket]],Table_NFI[[#This Row],[Blanket]])</f>
        <v>#REF!</v>
      </c>
      <c r="AH224" s="577" t="e">
        <f>IF(NFI_Expiration=1,IF(#REF!&lt;VLOOKUP(Q$5,NFI,5,0),1,0)*Table_NFI[[#This Row],[Kitchen Set]],Table_NFI[Kitchen Set])</f>
        <v>#REF!</v>
      </c>
      <c r="AI224" s="577" t="e">
        <f>IF(NFI_Expiration=1,IF(#REF!&lt;VLOOKUP(R$5,NFI,5,0),1,0)*Table_NFI[[#This Row],[Clothes Kit]],Table_NFI[Clothes Kit])</f>
        <v>#REF!</v>
      </c>
      <c r="AJ224" s="577" t="e">
        <f>IF(NFI_Expiration=1,IF(#REF!&lt;VLOOKUP(S$5,NFI,5,0),1,0)*Table_NFI[[#This Row],[Plastic Bucket]],Table_NFI[Plastic Bucket])</f>
        <v>#REF!</v>
      </c>
      <c r="AK224" s="577" t="e">
        <f>IF(NFI_Expiration=1,IF(#REF!&lt;VLOOKUP(T$5,NFI,5,0),1,0)*Table_NFI[[#This Row],[Plastic Mat]],Table_NFI[Plastic Mat])*IF(Table_NFI[[#This Row],[Distribution Date]]&gt;"2014-04-01",1,2.5)</f>
        <v>#REF!</v>
      </c>
      <c r="AL224" s="577" t="e">
        <f>IF(NFI_Expiration=1,IF(#REF!&lt;VLOOKUP(U$5,NFI,5,0),1,0)*Table_NFI[[#This Row],[Winter Clothes Adult]],Table_NFI[Winter Clothes Adult])</f>
        <v>#REF!</v>
      </c>
      <c r="AM224" s="577"/>
      <c r="AN224" s="577"/>
      <c r="AO224" s="577"/>
      <c r="AP224" s="577">
        <f>IF(Table_NFI[[#This Row],[Winter Clothes Adult]]+Table_NFI[[#This Row],[Winter Clothes Children]]+Table_NFI[[#This Row],[Winter Items Other]]+Table_NFI[[#This Row],[Winter Blanket]]&gt;0,1,0)</f>
        <v>0</v>
      </c>
      <c r="AQ224" s="577"/>
      <c r="AR224" s="577"/>
      <c r="AS224" s="577"/>
      <c r="AT224" s="220" t="str">
        <f>IFERROR(VLOOKUP(Table_NFI[[#This Row],[Location]],CL,2,0),"")</f>
        <v/>
      </c>
      <c r="AU224" s="197"/>
    </row>
    <row r="225" spans="2:47" x14ac:dyDescent="0.3">
      <c r="B225" s="575">
        <v>43224</v>
      </c>
      <c r="C225" s="575" t="str">
        <f>MONTH(Table_NFI[[#This Row],[Distribution Date]]) &amp; "/" &amp; YEAR(Table_NFI[[#This Row],[Distribution Date]])</f>
        <v>5/2018</v>
      </c>
      <c r="D225" s="213" t="s">
        <v>424</v>
      </c>
      <c r="E225" s="213"/>
      <c r="F225" s="213" t="s">
        <v>378</v>
      </c>
      <c r="G225" s="213" t="s">
        <v>1802</v>
      </c>
      <c r="H225" s="235" t="s">
        <v>1798</v>
      </c>
      <c r="I225" s="197"/>
      <c r="J225" s="576"/>
      <c r="K225" s="576"/>
      <c r="L225" s="576"/>
      <c r="M225" s="576"/>
      <c r="N225" s="719">
        <v>213</v>
      </c>
      <c r="O225" s="717">
        <v>213</v>
      </c>
      <c r="P225" s="576"/>
      <c r="Q225" s="576"/>
      <c r="R225" s="576"/>
      <c r="S225" s="717">
        <v>97</v>
      </c>
      <c r="T225" s="576"/>
      <c r="U225" s="576"/>
      <c r="V225" s="576"/>
      <c r="W225" s="576"/>
      <c r="X225" s="576"/>
      <c r="Y225" s="576"/>
      <c r="Z225" s="576"/>
      <c r="AA225" s="576"/>
      <c r="AB225" s="576"/>
      <c r="AC225" s="577" t="e">
        <f>IF(NFI_Expiration=1,IF(#REF!&lt;VLOOKUP(L$5,NFI,5,0),1,0)*Table_NFI[[#This Row],[NFI Core Kit]],Table_NFI[NFI Core Kit])</f>
        <v>#REF!</v>
      </c>
      <c r="AD225" s="577" t="e">
        <f>IF(NFI_Expiration=1,IF(#REF!&lt;VLOOKUP(M$5,NFI,5,0),1,0)*Table_NFI[[#This Row],[Sanitary Kit]],Table_NFI[Sanitary Kit])</f>
        <v>#REF!</v>
      </c>
      <c r="AE225" s="577" t="e">
        <f>IF(NFI_Expiration=1,IF(#REF!&lt;VLOOKUP(N$5,NFI,5,0),1,0)*Table_NFI[[#This Row],[Mosquito net]],Table_NFI[Mosquito net])</f>
        <v>#REF!</v>
      </c>
      <c r="AF225" s="577" t="e">
        <f>IF(NFI_Expiration=1,IF(#REF!&lt;VLOOKUP(O$5,NFI,5,0),1,0)*Table_NFI[[#This Row],[Tarpaulin]],Table_NFI[[#This Row],[Tarpaulin]])</f>
        <v>#REF!</v>
      </c>
      <c r="AG225" s="577" t="e">
        <f>IF(NFI_Expiration=1,IF(#REF!&lt;VLOOKUP(P$5,NFI,5,0),1,0)*Table_NFI[[#This Row],[Blanket]],Table_NFI[[#This Row],[Blanket]])</f>
        <v>#REF!</v>
      </c>
      <c r="AH225" s="577" t="e">
        <f>IF(NFI_Expiration=1,IF(#REF!&lt;VLOOKUP(Q$5,NFI,5,0),1,0)*Table_NFI[[#This Row],[Kitchen Set]],Table_NFI[Kitchen Set])</f>
        <v>#REF!</v>
      </c>
      <c r="AI225" s="577" t="e">
        <f>IF(NFI_Expiration=1,IF(#REF!&lt;VLOOKUP(R$5,NFI,5,0),1,0)*Table_NFI[[#This Row],[Clothes Kit]],Table_NFI[Clothes Kit])</f>
        <v>#REF!</v>
      </c>
      <c r="AJ225" s="577" t="e">
        <f>IF(NFI_Expiration=1,IF(#REF!&lt;VLOOKUP(S$5,NFI,5,0),1,0)*Table_NFI[[#This Row],[Plastic Bucket]],Table_NFI[Plastic Bucket])</f>
        <v>#REF!</v>
      </c>
      <c r="AK225" s="577" t="e">
        <f>IF(NFI_Expiration=1,IF(#REF!&lt;VLOOKUP(T$5,NFI,5,0),1,0)*Table_NFI[[#This Row],[Plastic Mat]],Table_NFI[Plastic Mat])*IF(Table_NFI[[#This Row],[Distribution Date]]&gt;"2014-04-01",1,2.5)</f>
        <v>#REF!</v>
      </c>
      <c r="AL225" s="577" t="e">
        <f>IF(NFI_Expiration=1,IF(#REF!&lt;VLOOKUP(U$5,NFI,5,0),1,0)*Table_NFI[[#This Row],[Winter Clothes Adult]],Table_NFI[Winter Clothes Adult])</f>
        <v>#REF!</v>
      </c>
      <c r="AM225" s="577"/>
      <c r="AN225" s="577"/>
      <c r="AO225" s="577"/>
      <c r="AP225" s="577">
        <f>IF(Table_NFI[[#This Row],[Winter Clothes Adult]]+Table_NFI[[#This Row],[Winter Clothes Children]]+Table_NFI[[#This Row],[Winter Items Other]]+Table_NFI[[#This Row],[Winter Blanket]]&gt;0,1,0)</f>
        <v>0</v>
      </c>
      <c r="AQ225" s="577"/>
      <c r="AR225" s="577"/>
      <c r="AS225" s="577"/>
      <c r="AT225" s="220" t="str">
        <f>IFERROR(VLOOKUP(Table_NFI[[#This Row],[Location]],CL,2,0),"")</f>
        <v/>
      </c>
      <c r="AU225" s="197"/>
    </row>
    <row r="226" spans="2:47" x14ac:dyDescent="0.3">
      <c r="B226" s="575">
        <v>43224</v>
      </c>
      <c r="C226" s="575" t="str">
        <f>MONTH(Table_NFI[[#This Row],[Distribution Date]]) &amp; "/" &amp; YEAR(Table_NFI[[#This Row],[Distribution Date]])</f>
        <v>5/2018</v>
      </c>
      <c r="D226" s="213" t="s">
        <v>424</v>
      </c>
      <c r="E226" s="213"/>
      <c r="F226" s="213" t="s">
        <v>378</v>
      </c>
      <c r="G226" s="213" t="s">
        <v>1802</v>
      </c>
      <c r="H226" s="235" t="s">
        <v>1799</v>
      </c>
      <c r="I226" s="197"/>
      <c r="J226" s="576"/>
      <c r="K226" s="576"/>
      <c r="L226" s="576"/>
      <c r="M226" s="576"/>
      <c r="N226" s="719">
        <v>44</v>
      </c>
      <c r="O226" s="718">
        <v>34</v>
      </c>
      <c r="P226" s="576"/>
      <c r="Q226" s="576"/>
      <c r="R226" s="576"/>
      <c r="S226" s="718">
        <v>31</v>
      </c>
      <c r="T226" s="576"/>
      <c r="U226" s="576"/>
      <c r="V226" s="576"/>
      <c r="W226" s="576"/>
      <c r="X226" s="576"/>
      <c r="Y226" s="576"/>
      <c r="Z226" s="576"/>
      <c r="AA226" s="576"/>
      <c r="AB226" s="576"/>
      <c r="AC226" s="577" t="e">
        <f>IF(NFI_Expiration=1,IF(#REF!&lt;VLOOKUP(L$5,NFI,5,0),1,0)*Table_NFI[[#This Row],[NFI Core Kit]],Table_NFI[NFI Core Kit])</f>
        <v>#REF!</v>
      </c>
      <c r="AD226" s="577" t="e">
        <f>IF(NFI_Expiration=1,IF(#REF!&lt;VLOOKUP(M$5,NFI,5,0),1,0)*Table_NFI[[#This Row],[Sanitary Kit]],Table_NFI[Sanitary Kit])</f>
        <v>#REF!</v>
      </c>
      <c r="AE226" s="577" t="e">
        <f>IF(NFI_Expiration=1,IF(#REF!&lt;VLOOKUP(N$5,NFI,5,0),1,0)*Table_NFI[[#This Row],[Mosquito net]],Table_NFI[Mosquito net])</f>
        <v>#REF!</v>
      </c>
      <c r="AF226" s="577" t="e">
        <f>IF(NFI_Expiration=1,IF(#REF!&lt;VLOOKUP(O$5,NFI,5,0),1,0)*Table_NFI[[#This Row],[Tarpaulin]],Table_NFI[[#This Row],[Tarpaulin]])</f>
        <v>#REF!</v>
      </c>
      <c r="AG226" s="577" t="e">
        <f>IF(NFI_Expiration=1,IF(#REF!&lt;VLOOKUP(P$5,NFI,5,0),1,0)*Table_NFI[[#This Row],[Blanket]],Table_NFI[[#This Row],[Blanket]])</f>
        <v>#REF!</v>
      </c>
      <c r="AH226" s="577" t="e">
        <f>IF(NFI_Expiration=1,IF(#REF!&lt;VLOOKUP(Q$5,NFI,5,0),1,0)*Table_NFI[[#This Row],[Kitchen Set]],Table_NFI[Kitchen Set])</f>
        <v>#REF!</v>
      </c>
      <c r="AI226" s="577" t="e">
        <f>IF(NFI_Expiration=1,IF(#REF!&lt;VLOOKUP(R$5,NFI,5,0),1,0)*Table_NFI[[#This Row],[Clothes Kit]],Table_NFI[Clothes Kit])</f>
        <v>#REF!</v>
      </c>
      <c r="AJ226" s="577" t="e">
        <f>IF(NFI_Expiration=1,IF(#REF!&lt;VLOOKUP(S$5,NFI,5,0),1,0)*Table_NFI[[#This Row],[Plastic Bucket]],Table_NFI[Plastic Bucket])</f>
        <v>#REF!</v>
      </c>
      <c r="AK226" s="577" t="e">
        <f>IF(NFI_Expiration=1,IF(#REF!&lt;VLOOKUP(T$5,NFI,5,0),1,0)*Table_NFI[[#This Row],[Plastic Mat]],Table_NFI[Plastic Mat])*IF(Table_NFI[[#This Row],[Distribution Date]]&gt;"2014-04-01",1,2.5)</f>
        <v>#REF!</v>
      </c>
      <c r="AL226" s="577" t="e">
        <f>IF(NFI_Expiration=1,IF(#REF!&lt;VLOOKUP(U$5,NFI,5,0),1,0)*Table_NFI[[#This Row],[Winter Clothes Adult]],Table_NFI[Winter Clothes Adult])</f>
        <v>#REF!</v>
      </c>
      <c r="AM226" s="577"/>
      <c r="AN226" s="577"/>
      <c r="AO226" s="577"/>
      <c r="AP226" s="577">
        <f>IF(Table_NFI[[#This Row],[Winter Clothes Adult]]+Table_NFI[[#This Row],[Winter Clothes Children]]+Table_NFI[[#This Row],[Winter Items Other]]+Table_NFI[[#This Row],[Winter Blanket]]&gt;0,1,0)</f>
        <v>0</v>
      </c>
      <c r="AQ226" s="577"/>
      <c r="AR226" s="577"/>
      <c r="AS226" s="577"/>
      <c r="AT226" s="220" t="str">
        <f>IFERROR(VLOOKUP(Table_NFI[[#This Row],[Location]],CL,2,0),"")</f>
        <v/>
      </c>
      <c r="AU226" s="197"/>
    </row>
    <row r="227" spans="2:47" x14ac:dyDescent="0.3">
      <c r="B227" s="575">
        <v>43224</v>
      </c>
      <c r="C227" s="575" t="str">
        <f>MONTH(Table_NFI[[#This Row],[Distribution Date]]) &amp; "/" &amp; YEAR(Table_NFI[[#This Row],[Distribution Date]])</f>
        <v>5/2018</v>
      </c>
      <c r="D227" s="213" t="s">
        <v>424</v>
      </c>
      <c r="E227" s="213"/>
      <c r="F227" s="213" t="s">
        <v>378</v>
      </c>
      <c r="G227" s="213" t="s">
        <v>1802</v>
      </c>
      <c r="H227" s="235" t="s">
        <v>1800</v>
      </c>
      <c r="I227" s="197"/>
      <c r="J227" s="576"/>
      <c r="K227" s="576"/>
      <c r="L227" s="576"/>
      <c r="M227" s="576"/>
      <c r="N227" s="717">
        <v>99</v>
      </c>
      <c r="O227" s="576"/>
      <c r="P227" s="576"/>
      <c r="Q227" s="576"/>
      <c r="R227" s="576"/>
      <c r="S227" s="717">
        <v>45</v>
      </c>
      <c r="T227" s="576"/>
      <c r="U227" s="576"/>
      <c r="V227" s="576"/>
      <c r="W227" s="576"/>
      <c r="X227" s="576"/>
      <c r="Y227" s="576"/>
      <c r="Z227" s="576"/>
      <c r="AA227" s="576"/>
      <c r="AB227" s="576"/>
      <c r="AC227" s="577" t="e">
        <f>IF(NFI_Expiration=1,IF(#REF!&lt;VLOOKUP(L$5,NFI,5,0),1,0)*Table_NFI[[#This Row],[NFI Core Kit]],Table_NFI[NFI Core Kit])</f>
        <v>#REF!</v>
      </c>
      <c r="AD227" s="577" t="e">
        <f>IF(NFI_Expiration=1,IF(#REF!&lt;VLOOKUP(M$5,NFI,5,0),1,0)*Table_NFI[[#This Row],[Sanitary Kit]],Table_NFI[Sanitary Kit])</f>
        <v>#REF!</v>
      </c>
      <c r="AE227" s="577" t="e">
        <f>IF(NFI_Expiration=1,IF(#REF!&lt;VLOOKUP(N$5,NFI,5,0),1,0)*Table_NFI[[#This Row],[Mosquito net]],Table_NFI[Mosquito net])</f>
        <v>#REF!</v>
      </c>
      <c r="AF227" s="577" t="e">
        <f>IF(NFI_Expiration=1,IF(#REF!&lt;VLOOKUP(O$5,NFI,5,0),1,0)*Table_NFI[[#This Row],[Tarpaulin]],Table_NFI[[#This Row],[Tarpaulin]])</f>
        <v>#REF!</v>
      </c>
      <c r="AG227" s="577" t="e">
        <f>IF(NFI_Expiration=1,IF(#REF!&lt;VLOOKUP(P$5,NFI,5,0),1,0)*Table_NFI[[#This Row],[Blanket]],Table_NFI[[#This Row],[Blanket]])</f>
        <v>#REF!</v>
      </c>
      <c r="AH227" s="577" t="e">
        <f>IF(NFI_Expiration=1,IF(#REF!&lt;VLOOKUP(Q$5,NFI,5,0),1,0)*Table_NFI[[#This Row],[Kitchen Set]],Table_NFI[Kitchen Set])</f>
        <v>#REF!</v>
      </c>
      <c r="AI227" s="577" t="e">
        <f>IF(NFI_Expiration=1,IF(#REF!&lt;VLOOKUP(R$5,NFI,5,0),1,0)*Table_NFI[[#This Row],[Clothes Kit]],Table_NFI[Clothes Kit])</f>
        <v>#REF!</v>
      </c>
      <c r="AJ227" s="577" t="e">
        <f>IF(NFI_Expiration=1,IF(#REF!&lt;VLOOKUP(S$5,NFI,5,0),1,0)*Table_NFI[[#This Row],[Plastic Bucket]],Table_NFI[Plastic Bucket])</f>
        <v>#REF!</v>
      </c>
      <c r="AK227" s="577" t="e">
        <f>IF(NFI_Expiration=1,IF(#REF!&lt;VLOOKUP(T$5,NFI,5,0),1,0)*Table_NFI[[#This Row],[Plastic Mat]],Table_NFI[Plastic Mat])*IF(Table_NFI[[#This Row],[Distribution Date]]&gt;"2014-04-01",1,2.5)</f>
        <v>#REF!</v>
      </c>
      <c r="AL227" s="577" t="e">
        <f>IF(NFI_Expiration=1,IF(#REF!&lt;VLOOKUP(U$5,NFI,5,0),1,0)*Table_NFI[[#This Row],[Winter Clothes Adult]],Table_NFI[Winter Clothes Adult])</f>
        <v>#REF!</v>
      </c>
      <c r="AM227" s="577"/>
      <c r="AN227" s="577"/>
      <c r="AO227" s="577"/>
      <c r="AP227" s="577">
        <f>IF(Table_NFI[[#This Row],[Winter Clothes Adult]]+Table_NFI[[#This Row],[Winter Clothes Children]]+Table_NFI[[#This Row],[Winter Items Other]]+Table_NFI[[#This Row],[Winter Blanket]]&gt;0,1,0)</f>
        <v>0</v>
      </c>
      <c r="AQ227" s="577"/>
      <c r="AR227" s="577"/>
      <c r="AS227" s="577"/>
      <c r="AT227" s="220" t="str">
        <f>IFERROR(VLOOKUP(Table_NFI[[#This Row],[Location]],CL,2,0),"")</f>
        <v/>
      </c>
      <c r="AU227" s="197"/>
    </row>
    <row r="228" spans="2:47" x14ac:dyDescent="0.3">
      <c r="B228" s="575">
        <v>43224</v>
      </c>
      <c r="C228" s="575" t="str">
        <f>MONTH(Table_NFI[[#This Row],[Distribution Date]]) &amp; "/" &amp; YEAR(Table_NFI[[#This Row],[Distribution Date]])</f>
        <v>5/2018</v>
      </c>
      <c r="D228" s="213" t="s">
        <v>424</v>
      </c>
      <c r="E228" s="213"/>
      <c r="F228" s="213" t="s">
        <v>378</v>
      </c>
      <c r="G228" s="213" t="s">
        <v>1802</v>
      </c>
      <c r="H228" s="235" t="s">
        <v>1801</v>
      </c>
      <c r="I228" s="197"/>
      <c r="J228" s="576"/>
      <c r="K228" s="576"/>
      <c r="L228" s="576"/>
      <c r="M228" s="576"/>
      <c r="N228" s="718">
        <v>167</v>
      </c>
      <c r="O228" s="576"/>
      <c r="P228" s="576"/>
      <c r="Q228" s="576"/>
      <c r="R228" s="576"/>
      <c r="S228" s="718">
        <v>72</v>
      </c>
      <c r="T228" s="576"/>
      <c r="U228" s="576"/>
      <c r="V228" s="576"/>
      <c r="W228" s="576"/>
      <c r="X228" s="576"/>
      <c r="Y228" s="576"/>
      <c r="Z228" s="576"/>
      <c r="AA228" s="576"/>
      <c r="AB228" s="576"/>
      <c r="AC228" s="577" t="e">
        <f>IF(NFI_Expiration=1,IF(#REF!&lt;VLOOKUP(L$5,NFI,5,0),1,0)*Table_NFI[[#This Row],[NFI Core Kit]],Table_NFI[NFI Core Kit])</f>
        <v>#REF!</v>
      </c>
      <c r="AD228" s="577" t="e">
        <f>IF(NFI_Expiration=1,IF(#REF!&lt;VLOOKUP(M$5,NFI,5,0),1,0)*Table_NFI[[#This Row],[Sanitary Kit]],Table_NFI[Sanitary Kit])</f>
        <v>#REF!</v>
      </c>
      <c r="AE228" s="577" t="e">
        <f>IF(NFI_Expiration=1,IF(#REF!&lt;VLOOKUP(N$5,NFI,5,0),1,0)*Table_NFI[[#This Row],[Mosquito net]],Table_NFI[Mosquito net])</f>
        <v>#REF!</v>
      </c>
      <c r="AF228" s="577" t="e">
        <f>IF(NFI_Expiration=1,IF(#REF!&lt;VLOOKUP(O$5,NFI,5,0),1,0)*Table_NFI[[#This Row],[Tarpaulin]],Table_NFI[[#This Row],[Tarpaulin]])</f>
        <v>#REF!</v>
      </c>
      <c r="AG228" s="577" t="e">
        <f>IF(NFI_Expiration=1,IF(#REF!&lt;VLOOKUP(P$5,NFI,5,0),1,0)*Table_NFI[[#This Row],[Blanket]],Table_NFI[[#This Row],[Blanket]])</f>
        <v>#REF!</v>
      </c>
      <c r="AH228" s="577" t="e">
        <f>IF(NFI_Expiration=1,IF(#REF!&lt;VLOOKUP(Q$5,NFI,5,0),1,0)*Table_NFI[[#This Row],[Kitchen Set]],Table_NFI[Kitchen Set])</f>
        <v>#REF!</v>
      </c>
      <c r="AI228" s="577" t="e">
        <f>IF(NFI_Expiration=1,IF(#REF!&lt;VLOOKUP(R$5,NFI,5,0),1,0)*Table_NFI[[#This Row],[Clothes Kit]],Table_NFI[Clothes Kit])</f>
        <v>#REF!</v>
      </c>
      <c r="AJ228" s="577" t="e">
        <f>IF(NFI_Expiration=1,IF(#REF!&lt;VLOOKUP(S$5,NFI,5,0),1,0)*Table_NFI[[#This Row],[Plastic Bucket]],Table_NFI[Plastic Bucket])</f>
        <v>#REF!</v>
      </c>
      <c r="AK228" s="577" t="e">
        <f>IF(NFI_Expiration=1,IF(#REF!&lt;VLOOKUP(T$5,NFI,5,0),1,0)*Table_NFI[[#This Row],[Plastic Mat]],Table_NFI[Plastic Mat])*IF(Table_NFI[[#This Row],[Distribution Date]]&gt;"2014-04-01",1,2.5)</f>
        <v>#REF!</v>
      </c>
      <c r="AL228" s="577" t="e">
        <f>IF(NFI_Expiration=1,IF(#REF!&lt;VLOOKUP(U$5,NFI,5,0),1,0)*Table_NFI[[#This Row],[Winter Clothes Adult]],Table_NFI[Winter Clothes Adult])</f>
        <v>#REF!</v>
      </c>
      <c r="AM228" s="577"/>
      <c r="AN228" s="577"/>
      <c r="AO228" s="577"/>
      <c r="AP228" s="577">
        <f>IF(Table_NFI[[#This Row],[Winter Clothes Adult]]+Table_NFI[[#This Row],[Winter Clothes Children]]+Table_NFI[[#This Row],[Winter Items Other]]+Table_NFI[[#This Row],[Winter Blanket]]&gt;0,1,0)</f>
        <v>0</v>
      </c>
      <c r="AQ228" s="577"/>
      <c r="AR228" s="577"/>
      <c r="AS228" s="577"/>
      <c r="AT228" s="220" t="str">
        <f>IFERROR(VLOOKUP(Table_NFI[[#This Row],[Location]],CL,2,0),"")</f>
        <v/>
      </c>
      <c r="AU228" s="197"/>
    </row>
    <row r="229" spans="2:47" x14ac:dyDescent="0.25">
      <c r="B229" s="575">
        <v>43214</v>
      </c>
      <c r="C229" s="575" t="str">
        <f>MONTH(Table_NFI[[#This Row],[Distribution Date]]) &amp; "/" &amp; YEAR(Table_NFI[[#This Row],[Distribution Date]])</f>
        <v>4/2018</v>
      </c>
      <c r="D229" s="715" t="s">
        <v>825</v>
      </c>
      <c r="E229" s="715" t="s">
        <v>825</v>
      </c>
      <c r="F229" s="715" t="s">
        <v>378</v>
      </c>
      <c r="G229" s="715" t="s">
        <v>1137</v>
      </c>
      <c r="H229" s="715" t="s">
        <v>1809</v>
      </c>
      <c r="I229" s="715"/>
      <c r="J229" s="715"/>
      <c r="K229" s="576"/>
      <c r="L229" s="715"/>
      <c r="M229" s="715">
        <v>36</v>
      </c>
      <c r="N229" s="715"/>
      <c r="O229" s="715"/>
      <c r="P229" s="715"/>
      <c r="Q229" s="715"/>
      <c r="R229" s="576"/>
      <c r="S229" s="715"/>
      <c r="T229" s="715"/>
      <c r="U229" s="576"/>
      <c r="V229" s="576"/>
      <c r="W229" s="576"/>
      <c r="X229" s="576"/>
      <c r="Y229" s="715"/>
      <c r="Z229" s="576"/>
      <c r="AA229" s="576"/>
      <c r="AB229" s="576"/>
      <c r="AC229" s="577" t="e">
        <f>IF(NFI_Expiration=1,IF(#REF!&lt;VLOOKUP(L$5,NFI,5,0),1,0)*Table_NFI[[#This Row],[NFI Core Kit]],Table_NFI[NFI Core Kit])</f>
        <v>#REF!</v>
      </c>
      <c r="AD229" s="577" t="e">
        <f>IF(NFI_Expiration=1,IF(#REF!&lt;VLOOKUP(M$5,NFI,5,0),1,0)*Table_NFI[[#This Row],[Sanitary Kit]],Table_NFI[Sanitary Kit])</f>
        <v>#REF!</v>
      </c>
      <c r="AE229" s="577" t="e">
        <f>IF(NFI_Expiration=1,IF(#REF!&lt;VLOOKUP(N$5,NFI,5,0),1,0)*Table_NFI[[#This Row],[Mosquito net]],Table_NFI[Mosquito net])</f>
        <v>#REF!</v>
      </c>
      <c r="AF229" s="577" t="e">
        <f>IF(NFI_Expiration=1,IF(#REF!&lt;VLOOKUP(O$5,NFI,5,0),1,0)*Table_NFI[[#This Row],[Tarpaulin]],Table_NFI[[#This Row],[Tarpaulin]])</f>
        <v>#REF!</v>
      </c>
      <c r="AG229" s="577" t="e">
        <f>IF(NFI_Expiration=1,IF(#REF!&lt;VLOOKUP(P$5,NFI,5,0),1,0)*Table_NFI[[#This Row],[Blanket]],Table_NFI[[#This Row],[Blanket]])</f>
        <v>#REF!</v>
      </c>
      <c r="AH229" s="577" t="e">
        <f>IF(NFI_Expiration=1,IF(#REF!&lt;VLOOKUP(Q$5,NFI,5,0),1,0)*Table_NFI[[#This Row],[Kitchen Set]],Table_NFI[Kitchen Set])</f>
        <v>#REF!</v>
      </c>
      <c r="AI229" s="577" t="e">
        <f>IF(NFI_Expiration=1,IF(#REF!&lt;VLOOKUP(R$5,NFI,5,0),1,0)*Table_NFI[[#This Row],[Clothes Kit]],Table_NFI[Clothes Kit])</f>
        <v>#REF!</v>
      </c>
      <c r="AJ229" s="577" t="e">
        <f>IF(NFI_Expiration=1,IF(#REF!&lt;VLOOKUP(S$5,NFI,5,0),1,0)*Table_NFI[[#This Row],[Plastic Bucket]],Table_NFI[Plastic Bucket])</f>
        <v>#REF!</v>
      </c>
      <c r="AK229" s="577" t="e">
        <f>IF(NFI_Expiration=1,IF(#REF!&lt;VLOOKUP(T$5,NFI,5,0),1,0)*Table_NFI[[#This Row],[Plastic Mat]],Table_NFI[Plastic Mat])*IF(Table_NFI[[#This Row],[Distribution Date]]&gt;"2014-04-01",1,2.5)</f>
        <v>#REF!</v>
      </c>
      <c r="AL229" s="577" t="e">
        <f>IF(NFI_Expiration=1,IF(#REF!&lt;VLOOKUP(U$5,NFI,5,0),1,0)*Table_NFI[[#This Row],[Winter Clothes Adult]],Table_NFI[Winter Clothes Adult])</f>
        <v>#REF!</v>
      </c>
      <c r="AM229" s="577"/>
      <c r="AN229" s="577"/>
      <c r="AO229" s="577"/>
      <c r="AP229" s="577">
        <f>IF(Table_NFI[[#This Row],[Winter Clothes Adult]]+Table_NFI[[#This Row],[Winter Clothes Children]]+Table_NFI[[#This Row],[Winter Items Other]]+Table_NFI[[#This Row],[Winter Blanket]]&gt;0,1,0)</f>
        <v>0</v>
      </c>
      <c r="AQ229" s="577"/>
      <c r="AR229" s="577"/>
      <c r="AS229" s="577"/>
      <c r="AT229" s="220" t="str">
        <f>IFERROR(VLOOKUP(Table_NFI[[#This Row],[Location]],CL,2,0),"")</f>
        <v/>
      </c>
      <c r="AU229" s="197"/>
    </row>
    <row r="230" spans="2:47" x14ac:dyDescent="0.25">
      <c r="B230" s="575">
        <v>43214</v>
      </c>
      <c r="C230" s="575" t="str">
        <f>MONTH(Table_NFI[[#This Row],[Distribution Date]]) &amp; "/" &amp; YEAR(Table_NFI[[#This Row],[Distribution Date]])</f>
        <v>4/2018</v>
      </c>
      <c r="D230" s="715" t="s">
        <v>825</v>
      </c>
      <c r="E230" s="715" t="s">
        <v>825</v>
      </c>
      <c r="F230" s="715" t="s">
        <v>378</v>
      </c>
      <c r="G230" s="715" t="s">
        <v>1805</v>
      </c>
      <c r="H230" s="715" t="s">
        <v>1810</v>
      </c>
      <c r="I230" s="715"/>
      <c r="J230" s="715"/>
      <c r="K230" s="576"/>
      <c r="L230" s="715"/>
      <c r="M230" s="715">
        <v>104</v>
      </c>
      <c r="N230" s="715">
        <v>104</v>
      </c>
      <c r="O230" s="715"/>
      <c r="P230" s="715"/>
      <c r="Q230" s="715">
        <v>104</v>
      </c>
      <c r="R230" s="576"/>
      <c r="S230" s="715"/>
      <c r="T230" s="715"/>
      <c r="U230" s="576"/>
      <c r="V230" s="576"/>
      <c r="W230" s="576"/>
      <c r="X230" s="576"/>
      <c r="Y230" s="715"/>
      <c r="Z230" s="576"/>
      <c r="AA230" s="576"/>
      <c r="AB230" s="576"/>
      <c r="AC230" s="577" t="e">
        <f>IF(NFI_Expiration=1,IF(#REF!&lt;VLOOKUP(L$5,NFI,5,0),1,0)*Table_NFI[[#This Row],[NFI Core Kit]],Table_NFI[NFI Core Kit])</f>
        <v>#REF!</v>
      </c>
      <c r="AD230" s="577" t="e">
        <f>IF(NFI_Expiration=1,IF(#REF!&lt;VLOOKUP(M$5,NFI,5,0),1,0)*Table_NFI[[#This Row],[Sanitary Kit]],Table_NFI[Sanitary Kit])</f>
        <v>#REF!</v>
      </c>
      <c r="AE230" s="577" t="e">
        <f>IF(NFI_Expiration=1,IF(#REF!&lt;VLOOKUP(N$5,NFI,5,0),1,0)*Table_NFI[[#This Row],[Mosquito net]],Table_NFI[Mosquito net])</f>
        <v>#REF!</v>
      </c>
      <c r="AF230" s="577" t="e">
        <f>IF(NFI_Expiration=1,IF(#REF!&lt;VLOOKUP(O$5,NFI,5,0),1,0)*Table_NFI[[#This Row],[Tarpaulin]],Table_NFI[[#This Row],[Tarpaulin]])</f>
        <v>#REF!</v>
      </c>
      <c r="AG230" s="577" t="e">
        <f>IF(NFI_Expiration=1,IF(#REF!&lt;VLOOKUP(P$5,NFI,5,0),1,0)*Table_NFI[[#This Row],[Blanket]],Table_NFI[[#This Row],[Blanket]])</f>
        <v>#REF!</v>
      </c>
      <c r="AH230" s="577" t="e">
        <f>IF(NFI_Expiration=1,IF(#REF!&lt;VLOOKUP(Q$5,NFI,5,0),1,0)*Table_NFI[[#This Row],[Kitchen Set]],Table_NFI[Kitchen Set])</f>
        <v>#REF!</v>
      </c>
      <c r="AI230" s="577" t="e">
        <f>IF(NFI_Expiration=1,IF(#REF!&lt;VLOOKUP(R$5,NFI,5,0),1,0)*Table_NFI[[#This Row],[Clothes Kit]],Table_NFI[Clothes Kit])</f>
        <v>#REF!</v>
      </c>
      <c r="AJ230" s="577" t="e">
        <f>IF(NFI_Expiration=1,IF(#REF!&lt;VLOOKUP(S$5,NFI,5,0),1,0)*Table_NFI[[#This Row],[Plastic Bucket]],Table_NFI[Plastic Bucket])</f>
        <v>#REF!</v>
      </c>
      <c r="AK230" s="577" t="e">
        <f>IF(NFI_Expiration=1,IF(#REF!&lt;VLOOKUP(T$5,NFI,5,0),1,0)*Table_NFI[[#This Row],[Plastic Mat]],Table_NFI[Plastic Mat])*IF(Table_NFI[[#This Row],[Distribution Date]]&gt;"2014-04-01",1,2.5)</f>
        <v>#REF!</v>
      </c>
      <c r="AL230" s="577" t="e">
        <f>IF(NFI_Expiration=1,IF(#REF!&lt;VLOOKUP(U$5,NFI,5,0),1,0)*Table_NFI[[#This Row],[Winter Clothes Adult]],Table_NFI[Winter Clothes Adult])</f>
        <v>#REF!</v>
      </c>
      <c r="AM230" s="577"/>
      <c r="AN230" s="577"/>
      <c r="AO230" s="577"/>
      <c r="AP230" s="577">
        <f>IF(Table_NFI[[#This Row],[Winter Clothes Adult]]+Table_NFI[[#This Row],[Winter Clothes Children]]+Table_NFI[[#This Row],[Winter Items Other]]+Table_NFI[[#This Row],[Winter Blanket]]&gt;0,1,0)</f>
        <v>0</v>
      </c>
      <c r="AQ230" s="577"/>
      <c r="AR230" s="577"/>
      <c r="AS230" s="577"/>
      <c r="AT230" s="220" t="str">
        <f>IFERROR(VLOOKUP(Table_NFI[[#This Row],[Location]],CL,2,0),"")</f>
        <v/>
      </c>
      <c r="AU230" s="197"/>
    </row>
    <row r="231" spans="2:47" x14ac:dyDescent="0.25">
      <c r="B231" s="575">
        <v>43214</v>
      </c>
      <c r="C231" s="575" t="str">
        <f>MONTH(Table_NFI[[#This Row],[Distribution Date]]) &amp; "/" &amp; YEAR(Table_NFI[[#This Row],[Distribution Date]])</f>
        <v>4/2018</v>
      </c>
      <c r="D231" s="715" t="s">
        <v>825</v>
      </c>
      <c r="E231" s="715" t="s">
        <v>825</v>
      </c>
      <c r="F231" s="715" t="s">
        <v>378</v>
      </c>
      <c r="G231" s="715" t="s">
        <v>1805</v>
      </c>
      <c r="H231" s="715" t="s">
        <v>1811</v>
      </c>
      <c r="I231" s="715"/>
      <c r="J231" s="715"/>
      <c r="K231" s="576"/>
      <c r="L231" s="715"/>
      <c r="M231" s="715">
        <v>86</v>
      </c>
      <c r="N231" s="715">
        <v>86</v>
      </c>
      <c r="O231" s="715"/>
      <c r="P231" s="715"/>
      <c r="Q231" s="715">
        <v>86</v>
      </c>
      <c r="R231" s="576"/>
      <c r="S231" s="715"/>
      <c r="T231" s="715"/>
      <c r="U231" s="576"/>
      <c r="V231" s="576"/>
      <c r="W231" s="576"/>
      <c r="X231" s="576"/>
      <c r="Y231" s="715"/>
      <c r="Z231" s="576"/>
      <c r="AA231" s="576"/>
      <c r="AB231" s="576"/>
      <c r="AC231" s="577" t="e">
        <f>IF(NFI_Expiration=1,IF(#REF!&lt;VLOOKUP(L$5,NFI,5,0),1,0)*Table_NFI[[#This Row],[NFI Core Kit]],Table_NFI[NFI Core Kit])</f>
        <v>#REF!</v>
      </c>
      <c r="AD231" s="577" t="e">
        <f>IF(NFI_Expiration=1,IF(#REF!&lt;VLOOKUP(M$5,NFI,5,0),1,0)*Table_NFI[[#This Row],[Sanitary Kit]],Table_NFI[Sanitary Kit])</f>
        <v>#REF!</v>
      </c>
      <c r="AE231" s="577" t="e">
        <f>IF(NFI_Expiration=1,IF(#REF!&lt;VLOOKUP(N$5,NFI,5,0),1,0)*Table_NFI[[#This Row],[Mosquito net]],Table_NFI[Mosquito net])</f>
        <v>#REF!</v>
      </c>
      <c r="AF231" s="577" t="e">
        <f>IF(NFI_Expiration=1,IF(#REF!&lt;VLOOKUP(O$5,NFI,5,0),1,0)*Table_NFI[[#This Row],[Tarpaulin]],Table_NFI[[#This Row],[Tarpaulin]])</f>
        <v>#REF!</v>
      </c>
      <c r="AG231" s="577" t="e">
        <f>IF(NFI_Expiration=1,IF(#REF!&lt;VLOOKUP(P$5,NFI,5,0),1,0)*Table_NFI[[#This Row],[Blanket]],Table_NFI[[#This Row],[Blanket]])</f>
        <v>#REF!</v>
      </c>
      <c r="AH231" s="577" t="e">
        <f>IF(NFI_Expiration=1,IF(#REF!&lt;VLOOKUP(Q$5,NFI,5,0),1,0)*Table_NFI[[#This Row],[Kitchen Set]],Table_NFI[Kitchen Set])</f>
        <v>#REF!</v>
      </c>
      <c r="AI231" s="577" t="e">
        <f>IF(NFI_Expiration=1,IF(#REF!&lt;VLOOKUP(R$5,NFI,5,0),1,0)*Table_NFI[[#This Row],[Clothes Kit]],Table_NFI[Clothes Kit])</f>
        <v>#REF!</v>
      </c>
      <c r="AJ231" s="577" t="e">
        <f>IF(NFI_Expiration=1,IF(#REF!&lt;VLOOKUP(S$5,NFI,5,0),1,0)*Table_NFI[[#This Row],[Plastic Bucket]],Table_NFI[Plastic Bucket])</f>
        <v>#REF!</v>
      </c>
      <c r="AK231" s="577" t="e">
        <f>IF(NFI_Expiration=1,IF(#REF!&lt;VLOOKUP(T$5,NFI,5,0),1,0)*Table_NFI[[#This Row],[Plastic Mat]],Table_NFI[Plastic Mat])*IF(Table_NFI[[#This Row],[Distribution Date]]&gt;"2014-04-01",1,2.5)</f>
        <v>#REF!</v>
      </c>
      <c r="AL231" s="577" t="e">
        <f>IF(NFI_Expiration=1,IF(#REF!&lt;VLOOKUP(U$5,NFI,5,0),1,0)*Table_NFI[[#This Row],[Winter Clothes Adult]],Table_NFI[Winter Clothes Adult])</f>
        <v>#REF!</v>
      </c>
      <c r="AM231" s="577"/>
      <c r="AN231" s="577"/>
      <c r="AO231" s="577"/>
      <c r="AP231" s="577">
        <f>IF(Table_NFI[[#This Row],[Winter Clothes Adult]]+Table_NFI[[#This Row],[Winter Clothes Children]]+Table_NFI[[#This Row],[Winter Items Other]]+Table_NFI[[#This Row],[Winter Blanket]]&gt;0,1,0)</f>
        <v>0</v>
      </c>
      <c r="AQ231" s="577"/>
      <c r="AR231" s="577"/>
      <c r="AS231" s="577"/>
      <c r="AT231" s="220" t="str">
        <f>IFERROR(VLOOKUP(Table_NFI[[#This Row],[Location]],CL,2,0),"")</f>
        <v/>
      </c>
      <c r="AU231" s="197"/>
    </row>
    <row r="232" spans="2:47" x14ac:dyDescent="0.25">
      <c r="B232" s="575">
        <v>43214</v>
      </c>
      <c r="C232" s="575" t="str">
        <f>MONTH(Table_NFI[[#This Row],[Distribution Date]]) &amp; "/" &amp; YEAR(Table_NFI[[#This Row],[Distribution Date]])</f>
        <v>4/2018</v>
      </c>
      <c r="D232" s="715" t="s">
        <v>825</v>
      </c>
      <c r="E232" s="715" t="s">
        <v>825</v>
      </c>
      <c r="F232" s="715" t="s">
        <v>378</v>
      </c>
      <c r="G232" s="715" t="s">
        <v>1805</v>
      </c>
      <c r="H232" s="715" t="s">
        <v>1812</v>
      </c>
      <c r="I232" s="715"/>
      <c r="J232" s="715"/>
      <c r="K232" s="576"/>
      <c r="L232" s="715"/>
      <c r="M232" s="715">
        <v>35</v>
      </c>
      <c r="N232" s="715">
        <v>35</v>
      </c>
      <c r="O232" s="715"/>
      <c r="P232" s="715"/>
      <c r="Q232" s="715">
        <v>35</v>
      </c>
      <c r="R232" s="576"/>
      <c r="S232" s="715"/>
      <c r="T232" s="715"/>
      <c r="U232" s="576"/>
      <c r="V232" s="576"/>
      <c r="W232" s="576"/>
      <c r="X232" s="576"/>
      <c r="Y232" s="715"/>
      <c r="Z232" s="576"/>
      <c r="AA232" s="576"/>
      <c r="AB232" s="576"/>
      <c r="AC232" s="577" t="e">
        <f>IF(NFI_Expiration=1,IF(#REF!&lt;VLOOKUP(L$5,NFI,5,0),1,0)*Table_NFI[[#This Row],[NFI Core Kit]],Table_NFI[NFI Core Kit])</f>
        <v>#REF!</v>
      </c>
      <c r="AD232" s="577" t="e">
        <f>IF(NFI_Expiration=1,IF(#REF!&lt;VLOOKUP(M$5,NFI,5,0),1,0)*Table_NFI[[#This Row],[Sanitary Kit]],Table_NFI[Sanitary Kit])</f>
        <v>#REF!</v>
      </c>
      <c r="AE232" s="577" t="e">
        <f>IF(NFI_Expiration=1,IF(#REF!&lt;VLOOKUP(N$5,NFI,5,0),1,0)*Table_NFI[[#This Row],[Mosquito net]],Table_NFI[Mosquito net])</f>
        <v>#REF!</v>
      </c>
      <c r="AF232" s="577" t="e">
        <f>IF(NFI_Expiration=1,IF(#REF!&lt;VLOOKUP(O$5,NFI,5,0),1,0)*Table_NFI[[#This Row],[Tarpaulin]],Table_NFI[[#This Row],[Tarpaulin]])</f>
        <v>#REF!</v>
      </c>
      <c r="AG232" s="577" t="e">
        <f>IF(NFI_Expiration=1,IF(#REF!&lt;VLOOKUP(P$5,NFI,5,0),1,0)*Table_NFI[[#This Row],[Blanket]],Table_NFI[[#This Row],[Blanket]])</f>
        <v>#REF!</v>
      </c>
      <c r="AH232" s="577" t="e">
        <f>IF(NFI_Expiration=1,IF(#REF!&lt;VLOOKUP(Q$5,NFI,5,0),1,0)*Table_NFI[[#This Row],[Kitchen Set]],Table_NFI[Kitchen Set])</f>
        <v>#REF!</v>
      </c>
      <c r="AI232" s="577" t="e">
        <f>IF(NFI_Expiration=1,IF(#REF!&lt;VLOOKUP(R$5,NFI,5,0),1,0)*Table_NFI[[#This Row],[Clothes Kit]],Table_NFI[Clothes Kit])</f>
        <v>#REF!</v>
      </c>
      <c r="AJ232" s="577" t="e">
        <f>IF(NFI_Expiration=1,IF(#REF!&lt;VLOOKUP(S$5,NFI,5,0),1,0)*Table_NFI[[#This Row],[Plastic Bucket]],Table_NFI[Plastic Bucket])</f>
        <v>#REF!</v>
      </c>
      <c r="AK232" s="577" t="e">
        <f>IF(NFI_Expiration=1,IF(#REF!&lt;VLOOKUP(T$5,NFI,5,0),1,0)*Table_NFI[[#This Row],[Plastic Mat]],Table_NFI[Plastic Mat])*IF(Table_NFI[[#This Row],[Distribution Date]]&gt;"2014-04-01",1,2.5)</f>
        <v>#REF!</v>
      </c>
      <c r="AL232" s="577" t="e">
        <f>IF(NFI_Expiration=1,IF(#REF!&lt;VLOOKUP(U$5,NFI,5,0),1,0)*Table_NFI[[#This Row],[Winter Clothes Adult]],Table_NFI[Winter Clothes Adult])</f>
        <v>#REF!</v>
      </c>
      <c r="AM232" s="577"/>
      <c r="AN232" s="577"/>
      <c r="AO232" s="577"/>
      <c r="AP232" s="577">
        <f>IF(Table_NFI[[#This Row],[Winter Clothes Adult]]+Table_NFI[[#This Row],[Winter Clothes Children]]+Table_NFI[[#This Row],[Winter Items Other]]+Table_NFI[[#This Row],[Winter Blanket]]&gt;0,1,0)</f>
        <v>0</v>
      </c>
      <c r="AQ232" s="577"/>
      <c r="AR232" s="577"/>
      <c r="AS232" s="577"/>
      <c r="AT232" s="220" t="str">
        <f>IFERROR(VLOOKUP(Table_NFI[[#This Row],[Location]],CL,2,0),"")</f>
        <v/>
      </c>
      <c r="AU232" s="197"/>
    </row>
    <row r="233" spans="2:47" x14ac:dyDescent="0.25">
      <c r="B233" s="575">
        <v>43214</v>
      </c>
      <c r="C233" s="575" t="str">
        <f>MONTH(Table_NFI[[#This Row],[Distribution Date]]) &amp; "/" &amp; YEAR(Table_NFI[[#This Row],[Distribution Date]])</f>
        <v>4/2018</v>
      </c>
      <c r="D233" s="715" t="s">
        <v>825</v>
      </c>
      <c r="E233" s="715" t="s">
        <v>825</v>
      </c>
      <c r="F233" s="715" t="s">
        <v>378</v>
      </c>
      <c r="G233" s="715" t="s">
        <v>1805</v>
      </c>
      <c r="H233" s="715" t="s">
        <v>1813</v>
      </c>
      <c r="I233" s="715"/>
      <c r="J233" s="715"/>
      <c r="K233" s="576"/>
      <c r="L233" s="715"/>
      <c r="M233" s="715">
        <v>46</v>
      </c>
      <c r="N233" s="715">
        <v>46</v>
      </c>
      <c r="O233" s="715"/>
      <c r="P233" s="715"/>
      <c r="Q233" s="715">
        <v>46</v>
      </c>
      <c r="R233" s="576"/>
      <c r="S233" s="715"/>
      <c r="T233" s="715"/>
      <c r="U233" s="576"/>
      <c r="V233" s="576"/>
      <c r="W233" s="576"/>
      <c r="X233" s="576"/>
      <c r="Y233" s="715"/>
      <c r="Z233" s="576"/>
      <c r="AA233" s="576"/>
      <c r="AB233" s="576"/>
      <c r="AC233" s="577" t="e">
        <f>IF(NFI_Expiration=1,IF(#REF!&lt;VLOOKUP(L$5,NFI,5,0),1,0)*Table_NFI[[#This Row],[NFI Core Kit]],Table_NFI[NFI Core Kit])</f>
        <v>#REF!</v>
      </c>
      <c r="AD233" s="577" t="e">
        <f>IF(NFI_Expiration=1,IF(#REF!&lt;VLOOKUP(M$5,NFI,5,0),1,0)*Table_NFI[[#This Row],[Sanitary Kit]],Table_NFI[Sanitary Kit])</f>
        <v>#REF!</v>
      </c>
      <c r="AE233" s="577" t="e">
        <f>IF(NFI_Expiration=1,IF(#REF!&lt;VLOOKUP(N$5,NFI,5,0),1,0)*Table_NFI[[#This Row],[Mosquito net]],Table_NFI[Mosquito net])</f>
        <v>#REF!</v>
      </c>
      <c r="AF233" s="577" t="e">
        <f>IF(NFI_Expiration=1,IF(#REF!&lt;VLOOKUP(O$5,NFI,5,0),1,0)*Table_NFI[[#This Row],[Tarpaulin]],Table_NFI[[#This Row],[Tarpaulin]])</f>
        <v>#REF!</v>
      </c>
      <c r="AG233" s="577" t="e">
        <f>IF(NFI_Expiration=1,IF(#REF!&lt;VLOOKUP(P$5,NFI,5,0),1,0)*Table_NFI[[#This Row],[Blanket]],Table_NFI[[#This Row],[Blanket]])</f>
        <v>#REF!</v>
      </c>
      <c r="AH233" s="577" t="e">
        <f>IF(NFI_Expiration=1,IF(#REF!&lt;VLOOKUP(Q$5,NFI,5,0),1,0)*Table_NFI[[#This Row],[Kitchen Set]],Table_NFI[Kitchen Set])</f>
        <v>#REF!</v>
      </c>
      <c r="AI233" s="577" t="e">
        <f>IF(NFI_Expiration=1,IF(#REF!&lt;VLOOKUP(R$5,NFI,5,0),1,0)*Table_NFI[[#This Row],[Clothes Kit]],Table_NFI[Clothes Kit])</f>
        <v>#REF!</v>
      </c>
      <c r="AJ233" s="577" t="e">
        <f>IF(NFI_Expiration=1,IF(#REF!&lt;VLOOKUP(S$5,NFI,5,0),1,0)*Table_NFI[[#This Row],[Plastic Bucket]],Table_NFI[Plastic Bucket])</f>
        <v>#REF!</v>
      </c>
      <c r="AK233" s="577" t="e">
        <f>IF(NFI_Expiration=1,IF(#REF!&lt;VLOOKUP(T$5,NFI,5,0),1,0)*Table_NFI[[#This Row],[Plastic Mat]],Table_NFI[Plastic Mat])*IF(Table_NFI[[#This Row],[Distribution Date]]&gt;"2014-04-01",1,2.5)</f>
        <v>#REF!</v>
      </c>
      <c r="AL233" s="577" t="e">
        <f>IF(NFI_Expiration=1,IF(#REF!&lt;VLOOKUP(U$5,NFI,5,0),1,0)*Table_NFI[[#This Row],[Winter Clothes Adult]],Table_NFI[Winter Clothes Adult])</f>
        <v>#REF!</v>
      </c>
      <c r="AM233" s="577"/>
      <c r="AN233" s="577"/>
      <c r="AO233" s="577"/>
      <c r="AP233" s="577">
        <f>IF(Table_NFI[[#This Row],[Winter Clothes Adult]]+Table_NFI[[#This Row],[Winter Clothes Children]]+Table_NFI[[#This Row],[Winter Items Other]]+Table_NFI[[#This Row],[Winter Blanket]]&gt;0,1,0)</f>
        <v>0</v>
      </c>
      <c r="AQ233" s="577"/>
      <c r="AR233" s="577"/>
      <c r="AS233" s="577"/>
      <c r="AT233" s="220" t="str">
        <f>IFERROR(VLOOKUP(Table_NFI[[#This Row],[Location]],CL,2,0),"")</f>
        <v/>
      </c>
      <c r="AU233" s="197"/>
    </row>
    <row r="234" spans="2:47" x14ac:dyDescent="0.25">
      <c r="B234" s="575">
        <v>43217</v>
      </c>
      <c r="C234" s="575" t="str">
        <f>MONTH(Table_NFI[[#This Row],[Distribution Date]]) &amp; "/" &amp; YEAR(Table_NFI[[#This Row],[Distribution Date]])</f>
        <v>4/2018</v>
      </c>
      <c r="D234" s="715" t="s">
        <v>825</v>
      </c>
      <c r="E234" s="715" t="s">
        <v>825</v>
      </c>
      <c r="F234" s="715" t="s">
        <v>378</v>
      </c>
      <c r="G234" s="715" t="s">
        <v>237</v>
      </c>
      <c r="H234" s="715" t="s">
        <v>1814</v>
      </c>
      <c r="I234" s="715"/>
      <c r="J234" s="715"/>
      <c r="K234" s="576"/>
      <c r="L234" s="715"/>
      <c r="M234" s="715">
        <v>179</v>
      </c>
      <c r="N234" s="715">
        <v>179</v>
      </c>
      <c r="O234" s="715"/>
      <c r="P234" s="715"/>
      <c r="Q234" s="715"/>
      <c r="R234" s="576"/>
      <c r="S234" s="715"/>
      <c r="T234" s="715"/>
      <c r="U234" s="576"/>
      <c r="V234" s="576"/>
      <c r="W234" s="576"/>
      <c r="X234" s="576"/>
      <c r="Y234" s="715">
        <v>179</v>
      </c>
      <c r="Z234" s="576"/>
      <c r="AA234" s="576"/>
      <c r="AB234" s="576"/>
      <c r="AC234" s="577" t="e">
        <f>IF(NFI_Expiration=1,IF(#REF!&lt;VLOOKUP(L$5,NFI,5,0),1,0)*Table_NFI[[#This Row],[NFI Core Kit]],Table_NFI[NFI Core Kit])</f>
        <v>#REF!</v>
      </c>
      <c r="AD234" s="577" t="e">
        <f>IF(NFI_Expiration=1,IF(#REF!&lt;VLOOKUP(M$5,NFI,5,0),1,0)*Table_NFI[[#This Row],[Sanitary Kit]],Table_NFI[Sanitary Kit])</f>
        <v>#REF!</v>
      </c>
      <c r="AE234" s="577" t="e">
        <f>IF(NFI_Expiration=1,IF(#REF!&lt;VLOOKUP(N$5,NFI,5,0),1,0)*Table_NFI[[#This Row],[Mosquito net]],Table_NFI[Mosquito net])</f>
        <v>#REF!</v>
      </c>
      <c r="AF234" s="577" t="e">
        <f>IF(NFI_Expiration=1,IF(#REF!&lt;VLOOKUP(O$5,NFI,5,0),1,0)*Table_NFI[[#This Row],[Tarpaulin]],Table_NFI[[#This Row],[Tarpaulin]])</f>
        <v>#REF!</v>
      </c>
      <c r="AG234" s="577" t="e">
        <f>IF(NFI_Expiration=1,IF(#REF!&lt;VLOOKUP(P$5,NFI,5,0),1,0)*Table_NFI[[#This Row],[Blanket]],Table_NFI[[#This Row],[Blanket]])</f>
        <v>#REF!</v>
      </c>
      <c r="AH234" s="577" t="e">
        <f>IF(NFI_Expiration=1,IF(#REF!&lt;VLOOKUP(Q$5,NFI,5,0),1,0)*Table_NFI[[#This Row],[Kitchen Set]],Table_NFI[Kitchen Set])</f>
        <v>#REF!</v>
      </c>
      <c r="AI234" s="577" t="e">
        <f>IF(NFI_Expiration=1,IF(#REF!&lt;VLOOKUP(R$5,NFI,5,0),1,0)*Table_NFI[[#This Row],[Clothes Kit]],Table_NFI[Clothes Kit])</f>
        <v>#REF!</v>
      </c>
      <c r="AJ234" s="577" t="e">
        <f>IF(NFI_Expiration=1,IF(#REF!&lt;VLOOKUP(S$5,NFI,5,0),1,0)*Table_NFI[[#This Row],[Plastic Bucket]],Table_NFI[Plastic Bucket])</f>
        <v>#REF!</v>
      </c>
      <c r="AK234" s="577" t="e">
        <f>IF(NFI_Expiration=1,IF(#REF!&lt;VLOOKUP(T$5,NFI,5,0),1,0)*Table_NFI[[#This Row],[Plastic Mat]],Table_NFI[Plastic Mat])*IF(Table_NFI[[#This Row],[Distribution Date]]&gt;"2014-04-01",1,2.5)</f>
        <v>#REF!</v>
      </c>
      <c r="AL234" s="577" t="e">
        <f>IF(NFI_Expiration=1,IF(#REF!&lt;VLOOKUP(U$5,NFI,5,0),1,0)*Table_NFI[[#This Row],[Winter Clothes Adult]],Table_NFI[Winter Clothes Adult])</f>
        <v>#REF!</v>
      </c>
      <c r="AM234" s="577"/>
      <c r="AN234" s="577"/>
      <c r="AO234" s="577"/>
      <c r="AP234" s="577">
        <f>IF(Table_NFI[[#This Row],[Winter Clothes Adult]]+Table_NFI[[#This Row],[Winter Clothes Children]]+Table_NFI[[#This Row],[Winter Items Other]]+Table_NFI[[#This Row],[Winter Blanket]]&gt;0,1,0)</f>
        <v>0</v>
      </c>
      <c r="AQ234" s="577"/>
      <c r="AR234" s="577"/>
      <c r="AS234" s="577"/>
      <c r="AT234" s="220" t="str">
        <f>IFERROR(VLOOKUP(Table_NFI[[#This Row],[Location]],CL,2,0),"")</f>
        <v/>
      </c>
      <c r="AU234" s="197"/>
    </row>
    <row r="235" spans="2:47" x14ac:dyDescent="0.25">
      <c r="B235" s="575">
        <v>43217</v>
      </c>
      <c r="C235" s="575" t="str">
        <f>MONTH(Table_NFI[[#This Row],[Distribution Date]]) &amp; "/" &amp; YEAR(Table_NFI[[#This Row],[Distribution Date]])</f>
        <v>4/2018</v>
      </c>
      <c r="D235" s="715" t="s">
        <v>825</v>
      </c>
      <c r="E235" s="715" t="s">
        <v>825</v>
      </c>
      <c r="F235" s="715" t="s">
        <v>378</v>
      </c>
      <c r="G235" s="715" t="s">
        <v>237</v>
      </c>
      <c r="H235" s="715" t="s">
        <v>1815</v>
      </c>
      <c r="I235" s="715"/>
      <c r="J235" s="715"/>
      <c r="K235" s="576"/>
      <c r="L235" s="715"/>
      <c r="M235" s="715">
        <v>27</v>
      </c>
      <c r="N235" s="715">
        <v>27</v>
      </c>
      <c r="O235" s="715"/>
      <c r="P235" s="715"/>
      <c r="Q235" s="715"/>
      <c r="R235" s="576"/>
      <c r="S235" s="715"/>
      <c r="T235" s="715"/>
      <c r="U235" s="576"/>
      <c r="V235" s="576"/>
      <c r="W235" s="576"/>
      <c r="X235" s="576"/>
      <c r="Y235" s="715">
        <v>27</v>
      </c>
      <c r="Z235" s="576"/>
      <c r="AA235" s="576"/>
      <c r="AB235" s="576"/>
      <c r="AC235" s="577" t="e">
        <f>IF(NFI_Expiration=1,IF(#REF!&lt;VLOOKUP(L$5,NFI,5,0),1,0)*Table_NFI[[#This Row],[NFI Core Kit]],Table_NFI[NFI Core Kit])</f>
        <v>#REF!</v>
      </c>
      <c r="AD235" s="577" t="e">
        <f>IF(NFI_Expiration=1,IF(#REF!&lt;VLOOKUP(M$5,NFI,5,0),1,0)*Table_NFI[[#This Row],[Sanitary Kit]],Table_NFI[Sanitary Kit])</f>
        <v>#REF!</v>
      </c>
      <c r="AE235" s="577" t="e">
        <f>IF(NFI_Expiration=1,IF(#REF!&lt;VLOOKUP(N$5,NFI,5,0),1,0)*Table_NFI[[#This Row],[Mosquito net]],Table_NFI[Mosquito net])</f>
        <v>#REF!</v>
      </c>
      <c r="AF235" s="577" t="e">
        <f>IF(NFI_Expiration=1,IF(#REF!&lt;VLOOKUP(O$5,NFI,5,0),1,0)*Table_NFI[[#This Row],[Tarpaulin]],Table_NFI[[#This Row],[Tarpaulin]])</f>
        <v>#REF!</v>
      </c>
      <c r="AG235" s="577" t="e">
        <f>IF(NFI_Expiration=1,IF(#REF!&lt;VLOOKUP(P$5,NFI,5,0),1,0)*Table_NFI[[#This Row],[Blanket]],Table_NFI[[#This Row],[Blanket]])</f>
        <v>#REF!</v>
      </c>
      <c r="AH235" s="577" t="e">
        <f>IF(NFI_Expiration=1,IF(#REF!&lt;VLOOKUP(Q$5,NFI,5,0),1,0)*Table_NFI[[#This Row],[Kitchen Set]],Table_NFI[Kitchen Set])</f>
        <v>#REF!</v>
      </c>
      <c r="AI235" s="577" t="e">
        <f>IF(NFI_Expiration=1,IF(#REF!&lt;VLOOKUP(R$5,NFI,5,0),1,0)*Table_NFI[[#This Row],[Clothes Kit]],Table_NFI[Clothes Kit])</f>
        <v>#REF!</v>
      </c>
      <c r="AJ235" s="577" t="e">
        <f>IF(NFI_Expiration=1,IF(#REF!&lt;VLOOKUP(S$5,NFI,5,0),1,0)*Table_NFI[[#This Row],[Plastic Bucket]],Table_NFI[Plastic Bucket])</f>
        <v>#REF!</v>
      </c>
      <c r="AK235" s="577" t="e">
        <f>IF(NFI_Expiration=1,IF(#REF!&lt;VLOOKUP(T$5,NFI,5,0),1,0)*Table_NFI[[#This Row],[Plastic Mat]],Table_NFI[Plastic Mat])*IF(Table_NFI[[#This Row],[Distribution Date]]&gt;"2014-04-01",1,2.5)</f>
        <v>#REF!</v>
      </c>
      <c r="AL235" s="577" t="e">
        <f>IF(NFI_Expiration=1,IF(#REF!&lt;VLOOKUP(U$5,NFI,5,0),1,0)*Table_NFI[[#This Row],[Winter Clothes Adult]],Table_NFI[Winter Clothes Adult])</f>
        <v>#REF!</v>
      </c>
      <c r="AM235" s="577"/>
      <c r="AN235" s="577"/>
      <c r="AO235" s="577"/>
      <c r="AP235" s="577">
        <f>IF(Table_NFI[[#This Row],[Winter Clothes Adult]]+Table_NFI[[#This Row],[Winter Clothes Children]]+Table_NFI[[#This Row],[Winter Items Other]]+Table_NFI[[#This Row],[Winter Blanket]]&gt;0,1,0)</f>
        <v>0</v>
      </c>
      <c r="AQ235" s="577"/>
      <c r="AR235" s="577"/>
      <c r="AS235" s="577"/>
      <c r="AT235" s="220" t="str">
        <f>IFERROR(VLOOKUP(Table_NFI[[#This Row],[Location]],CL,2,0),"")</f>
        <v/>
      </c>
      <c r="AU235" s="197"/>
    </row>
    <row r="236" spans="2:47" x14ac:dyDescent="0.25">
      <c r="B236" s="575">
        <v>43225</v>
      </c>
      <c r="C236" s="575" t="str">
        <f>MONTH(Table_NFI[[#This Row],[Distribution Date]]) &amp; "/" &amp; YEAR(Table_NFI[[#This Row],[Distribution Date]])</f>
        <v>5/2018</v>
      </c>
      <c r="D236" s="715" t="s">
        <v>825</v>
      </c>
      <c r="E236" s="715" t="s">
        <v>825</v>
      </c>
      <c r="F236" s="715" t="s">
        <v>378</v>
      </c>
      <c r="G236" s="715" t="s">
        <v>309</v>
      </c>
      <c r="H236" s="715" t="s">
        <v>1816</v>
      </c>
      <c r="I236" s="715"/>
      <c r="J236" s="715"/>
      <c r="K236" s="576"/>
      <c r="L236" s="715">
        <v>24</v>
      </c>
      <c r="M236" s="715">
        <v>24</v>
      </c>
      <c r="N236" s="715">
        <v>24</v>
      </c>
      <c r="O236" s="715">
        <f>24*2</f>
        <v>48</v>
      </c>
      <c r="P236" s="715">
        <f>24*2</f>
        <v>48</v>
      </c>
      <c r="Q236" s="715">
        <v>24</v>
      </c>
      <c r="R236" s="576"/>
      <c r="S236" s="715"/>
      <c r="T236" s="715"/>
      <c r="U236" s="576"/>
      <c r="V236" s="576"/>
      <c r="W236" s="576"/>
      <c r="X236" s="576"/>
      <c r="Y236" s="715">
        <v>24</v>
      </c>
      <c r="Z236" s="576"/>
      <c r="AA236" s="576"/>
      <c r="AB236" s="576"/>
      <c r="AC236" s="577" t="e">
        <f>IF(NFI_Expiration=1,IF(#REF!&lt;VLOOKUP(L$5,NFI,5,0),1,0)*Table_NFI[[#This Row],[NFI Core Kit]],Table_NFI[NFI Core Kit])</f>
        <v>#REF!</v>
      </c>
      <c r="AD236" s="577" t="e">
        <f>IF(NFI_Expiration=1,IF(#REF!&lt;VLOOKUP(M$5,NFI,5,0),1,0)*Table_NFI[[#This Row],[Sanitary Kit]],Table_NFI[Sanitary Kit])</f>
        <v>#REF!</v>
      </c>
      <c r="AE236" s="577" t="e">
        <f>IF(NFI_Expiration=1,IF(#REF!&lt;VLOOKUP(N$5,NFI,5,0),1,0)*Table_NFI[[#This Row],[Mosquito net]],Table_NFI[Mosquito net])</f>
        <v>#REF!</v>
      </c>
      <c r="AF236" s="577" t="e">
        <f>IF(NFI_Expiration=1,IF(#REF!&lt;VLOOKUP(O$5,NFI,5,0),1,0)*Table_NFI[[#This Row],[Tarpaulin]],Table_NFI[[#This Row],[Tarpaulin]])</f>
        <v>#REF!</v>
      </c>
      <c r="AG236" s="577" t="e">
        <f>IF(NFI_Expiration=1,IF(#REF!&lt;VLOOKUP(P$5,NFI,5,0),1,0)*Table_NFI[[#This Row],[Blanket]],Table_NFI[[#This Row],[Blanket]])</f>
        <v>#REF!</v>
      </c>
      <c r="AH236" s="577" t="e">
        <f>IF(NFI_Expiration=1,IF(#REF!&lt;VLOOKUP(Q$5,NFI,5,0),1,0)*Table_NFI[[#This Row],[Kitchen Set]],Table_NFI[Kitchen Set])</f>
        <v>#REF!</v>
      </c>
      <c r="AI236" s="577" t="e">
        <f>IF(NFI_Expiration=1,IF(#REF!&lt;VLOOKUP(R$5,NFI,5,0),1,0)*Table_NFI[[#This Row],[Clothes Kit]],Table_NFI[Clothes Kit])</f>
        <v>#REF!</v>
      </c>
      <c r="AJ236" s="577" t="e">
        <f>IF(NFI_Expiration=1,IF(#REF!&lt;VLOOKUP(S$5,NFI,5,0),1,0)*Table_NFI[[#This Row],[Plastic Bucket]],Table_NFI[Plastic Bucket])</f>
        <v>#REF!</v>
      </c>
      <c r="AK236" s="577" t="e">
        <f>IF(NFI_Expiration=1,IF(#REF!&lt;VLOOKUP(T$5,NFI,5,0),1,0)*Table_NFI[[#This Row],[Plastic Mat]],Table_NFI[Plastic Mat])*IF(Table_NFI[[#This Row],[Distribution Date]]&gt;"2014-04-01",1,2.5)</f>
        <v>#REF!</v>
      </c>
      <c r="AL236" s="577" t="e">
        <f>IF(NFI_Expiration=1,IF(#REF!&lt;VLOOKUP(U$5,NFI,5,0),1,0)*Table_NFI[[#This Row],[Winter Clothes Adult]],Table_NFI[Winter Clothes Adult])</f>
        <v>#REF!</v>
      </c>
      <c r="AM236" s="577"/>
      <c r="AN236" s="577"/>
      <c r="AO236" s="577"/>
      <c r="AP236" s="577">
        <f>IF(Table_NFI[[#This Row],[Winter Clothes Adult]]+Table_NFI[[#This Row],[Winter Clothes Children]]+Table_NFI[[#This Row],[Winter Items Other]]+Table_NFI[[#This Row],[Winter Blanket]]&gt;0,1,0)</f>
        <v>0</v>
      </c>
      <c r="AQ236" s="577"/>
      <c r="AR236" s="577"/>
      <c r="AS236" s="577"/>
      <c r="AT236" s="220" t="str">
        <f>IFERROR(VLOOKUP(Table_NFI[[#This Row],[Location]],CL,2,0),"")</f>
        <v/>
      </c>
      <c r="AU236" s="197"/>
    </row>
    <row r="237" spans="2:47" x14ac:dyDescent="0.25">
      <c r="B237" s="575">
        <v>43225</v>
      </c>
      <c r="C237" s="575" t="str">
        <f>MONTH(Table_NFI[[#This Row],[Distribution Date]]) &amp; "/" &amp; YEAR(Table_NFI[[#This Row],[Distribution Date]])</f>
        <v>5/2018</v>
      </c>
      <c r="D237" s="715" t="s">
        <v>825</v>
      </c>
      <c r="E237" s="715" t="s">
        <v>825</v>
      </c>
      <c r="F237" s="715" t="s">
        <v>378</v>
      </c>
      <c r="G237" s="715" t="s">
        <v>309</v>
      </c>
      <c r="H237" s="715" t="s">
        <v>1817</v>
      </c>
      <c r="I237" s="715"/>
      <c r="J237" s="715"/>
      <c r="K237" s="576"/>
      <c r="L237" s="715">
        <v>61</v>
      </c>
      <c r="M237" s="715">
        <v>61</v>
      </c>
      <c r="N237" s="715">
        <v>61</v>
      </c>
      <c r="O237" s="715">
        <f>61*2</f>
        <v>122</v>
      </c>
      <c r="P237" s="715">
        <f>61*2</f>
        <v>122</v>
      </c>
      <c r="Q237" s="715">
        <v>61</v>
      </c>
      <c r="R237" s="576"/>
      <c r="S237" s="715"/>
      <c r="T237" s="715"/>
      <c r="U237" s="576"/>
      <c r="V237" s="576"/>
      <c r="W237" s="576"/>
      <c r="X237" s="576"/>
      <c r="Y237" s="715">
        <v>61</v>
      </c>
      <c r="Z237" s="576"/>
      <c r="AA237" s="576"/>
      <c r="AB237" s="576"/>
      <c r="AC237" s="577" t="e">
        <f>IF(NFI_Expiration=1,IF(#REF!&lt;VLOOKUP(L$5,NFI,5,0),1,0)*Table_NFI[[#This Row],[NFI Core Kit]],Table_NFI[NFI Core Kit])</f>
        <v>#REF!</v>
      </c>
      <c r="AD237" s="577" t="e">
        <f>IF(NFI_Expiration=1,IF(#REF!&lt;VLOOKUP(M$5,NFI,5,0),1,0)*Table_NFI[[#This Row],[Sanitary Kit]],Table_NFI[Sanitary Kit])</f>
        <v>#REF!</v>
      </c>
      <c r="AE237" s="577" t="e">
        <f>IF(NFI_Expiration=1,IF(#REF!&lt;VLOOKUP(N$5,NFI,5,0),1,0)*Table_NFI[[#This Row],[Mosquito net]],Table_NFI[Mosquito net])</f>
        <v>#REF!</v>
      </c>
      <c r="AF237" s="577" t="e">
        <f>IF(NFI_Expiration=1,IF(#REF!&lt;VLOOKUP(O$5,NFI,5,0),1,0)*Table_NFI[[#This Row],[Tarpaulin]],Table_NFI[[#This Row],[Tarpaulin]])</f>
        <v>#REF!</v>
      </c>
      <c r="AG237" s="577" t="e">
        <f>IF(NFI_Expiration=1,IF(#REF!&lt;VLOOKUP(P$5,NFI,5,0),1,0)*Table_NFI[[#This Row],[Blanket]],Table_NFI[[#This Row],[Blanket]])</f>
        <v>#REF!</v>
      </c>
      <c r="AH237" s="577" t="e">
        <f>IF(NFI_Expiration=1,IF(#REF!&lt;VLOOKUP(Q$5,NFI,5,0),1,0)*Table_NFI[[#This Row],[Kitchen Set]],Table_NFI[Kitchen Set])</f>
        <v>#REF!</v>
      </c>
      <c r="AI237" s="577" t="e">
        <f>IF(NFI_Expiration=1,IF(#REF!&lt;VLOOKUP(R$5,NFI,5,0),1,0)*Table_NFI[[#This Row],[Clothes Kit]],Table_NFI[Clothes Kit])</f>
        <v>#REF!</v>
      </c>
      <c r="AJ237" s="577" t="e">
        <f>IF(NFI_Expiration=1,IF(#REF!&lt;VLOOKUP(S$5,NFI,5,0),1,0)*Table_NFI[[#This Row],[Plastic Bucket]],Table_NFI[Plastic Bucket])</f>
        <v>#REF!</v>
      </c>
      <c r="AK237" s="577" t="e">
        <f>IF(NFI_Expiration=1,IF(#REF!&lt;VLOOKUP(T$5,NFI,5,0),1,0)*Table_NFI[[#This Row],[Plastic Mat]],Table_NFI[Plastic Mat])*IF(Table_NFI[[#This Row],[Distribution Date]]&gt;"2014-04-01",1,2.5)</f>
        <v>#REF!</v>
      </c>
      <c r="AL237" s="577" t="e">
        <f>IF(NFI_Expiration=1,IF(#REF!&lt;VLOOKUP(U$5,NFI,5,0),1,0)*Table_NFI[[#This Row],[Winter Clothes Adult]],Table_NFI[Winter Clothes Adult])</f>
        <v>#REF!</v>
      </c>
      <c r="AM237" s="577"/>
      <c r="AN237" s="577"/>
      <c r="AO237" s="577"/>
      <c r="AP237" s="577">
        <f>IF(Table_NFI[[#This Row],[Winter Clothes Adult]]+Table_NFI[[#This Row],[Winter Clothes Children]]+Table_NFI[[#This Row],[Winter Items Other]]+Table_NFI[[#This Row],[Winter Blanket]]&gt;0,1,0)</f>
        <v>0</v>
      </c>
      <c r="AQ237" s="577"/>
      <c r="AR237" s="577"/>
      <c r="AS237" s="577"/>
      <c r="AT237" s="220" t="str">
        <f>IFERROR(VLOOKUP(Table_NFI[[#This Row],[Location]],CL,2,0),"")</f>
        <v/>
      </c>
      <c r="AU237" s="197"/>
    </row>
    <row r="238" spans="2:47" x14ac:dyDescent="0.25">
      <c r="B238" s="575">
        <v>43225</v>
      </c>
      <c r="C238" s="575" t="str">
        <f>MONTH(Table_NFI[[#This Row],[Distribution Date]]) &amp; "/" &amp; YEAR(Table_NFI[[#This Row],[Distribution Date]])</f>
        <v>5/2018</v>
      </c>
      <c r="D238" s="715" t="s">
        <v>825</v>
      </c>
      <c r="E238" s="715" t="s">
        <v>825</v>
      </c>
      <c r="F238" s="715" t="s">
        <v>378</v>
      </c>
      <c r="G238" s="715" t="s">
        <v>27</v>
      </c>
      <c r="H238" s="715" t="s">
        <v>1818</v>
      </c>
      <c r="I238" s="715"/>
      <c r="J238" s="715"/>
      <c r="K238" s="576"/>
      <c r="L238" s="715">
        <v>99</v>
      </c>
      <c r="M238" s="715">
        <v>99</v>
      </c>
      <c r="N238" s="715">
        <v>99</v>
      </c>
      <c r="O238" s="715">
        <f>99*2</f>
        <v>198</v>
      </c>
      <c r="P238" s="715">
        <f>99*2</f>
        <v>198</v>
      </c>
      <c r="Q238" s="715">
        <v>99</v>
      </c>
      <c r="R238" s="576"/>
      <c r="S238" s="715"/>
      <c r="T238" s="715"/>
      <c r="U238" s="576"/>
      <c r="V238" s="576"/>
      <c r="W238" s="576"/>
      <c r="X238" s="576"/>
      <c r="Y238" s="715">
        <v>99</v>
      </c>
      <c r="Z238" s="576">
        <v>130</v>
      </c>
      <c r="AA238" s="576"/>
      <c r="AB238" s="576"/>
      <c r="AC238" s="577" t="e">
        <f>IF(NFI_Expiration=1,IF(#REF!&lt;VLOOKUP(L$5,NFI,5,0),1,0)*Table_NFI[[#This Row],[NFI Core Kit]],Table_NFI[NFI Core Kit])</f>
        <v>#REF!</v>
      </c>
      <c r="AD238" s="577" t="e">
        <f>IF(NFI_Expiration=1,IF(#REF!&lt;VLOOKUP(M$5,NFI,5,0),1,0)*Table_NFI[[#This Row],[Sanitary Kit]],Table_NFI[Sanitary Kit])</f>
        <v>#REF!</v>
      </c>
      <c r="AE238" s="577" t="e">
        <f>IF(NFI_Expiration=1,IF(#REF!&lt;VLOOKUP(N$5,NFI,5,0),1,0)*Table_NFI[[#This Row],[Mosquito net]],Table_NFI[Mosquito net])</f>
        <v>#REF!</v>
      </c>
      <c r="AF238" s="577" t="e">
        <f>IF(NFI_Expiration=1,IF(#REF!&lt;VLOOKUP(O$5,NFI,5,0),1,0)*Table_NFI[[#This Row],[Tarpaulin]],Table_NFI[[#This Row],[Tarpaulin]])</f>
        <v>#REF!</v>
      </c>
      <c r="AG238" s="577" t="e">
        <f>IF(NFI_Expiration=1,IF(#REF!&lt;VLOOKUP(P$5,NFI,5,0),1,0)*Table_NFI[[#This Row],[Blanket]],Table_NFI[[#This Row],[Blanket]])</f>
        <v>#REF!</v>
      </c>
      <c r="AH238" s="577" t="e">
        <f>IF(NFI_Expiration=1,IF(#REF!&lt;VLOOKUP(Q$5,NFI,5,0),1,0)*Table_NFI[[#This Row],[Kitchen Set]],Table_NFI[Kitchen Set])</f>
        <v>#REF!</v>
      </c>
      <c r="AI238" s="577" t="e">
        <f>IF(NFI_Expiration=1,IF(#REF!&lt;VLOOKUP(R$5,NFI,5,0),1,0)*Table_NFI[[#This Row],[Clothes Kit]],Table_NFI[Clothes Kit])</f>
        <v>#REF!</v>
      </c>
      <c r="AJ238" s="577" t="e">
        <f>IF(NFI_Expiration=1,IF(#REF!&lt;VLOOKUP(S$5,NFI,5,0),1,0)*Table_NFI[[#This Row],[Plastic Bucket]],Table_NFI[Plastic Bucket])</f>
        <v>#REF!</v>
      </c>
      <c r="AK238" s="577" t="e">
        <f>IF(NFI_Expiration=1,IF(#REF!&lt;VLOOKUP(T$5,NFI,5,0),1,0)*Table_NFI[[#This Row],[Plastic Mat]],Table_NFI[Plastic Mat])*IF(Table_NFI[[#This Row],[Distribution Date]]&gt;"2014-04-01",1,2.5)</f>
        <v>#REF!</v>
      </c>
      <c r="AL238" s="577" t="e">
        <f>IF(NFI_Expiration=1,IF(#REF!&lt;VLOOKUP(U$5,NFI,5,0),1,0)*Table_NFI[[#This Row],[Winter Clothes Adult]],Table_NFI[Winter Clothes Adult])</f>
        <v>#REF!</v>
      </c>
      <c r="AM238" s="577"/>
      <c r="AN238" s="577"/>
      <c r="AO238" s="577"/>
      <c r="AP238" s="577">
        <f>IF(Table_NFI[[#This Row],[Winter Clothes Adult]]+Table_NFI[[#This Row],[Winter Clothes Children]]+Table_NFI[[#This Row],[Winter Items Other]]+Table_NFI[[#This Row],[Winter Blanket]]&gt;0,1,0)</f>
        <v>0</v>
      </c>
      <c r="AQ238" s="577"/>
      <c r="AR238" s="577"/>
      <c r="AS238" s="577"/>
      <c r="AT238" s="220" t="str">
        <f>IFERROR(VLOOKUP(Table_NFI[[#This Row],[Location]],CL,2,0),"")</f>
        <v/>
      </c>
      <c r="AU238" s="197"/>
    </row>
    <row r="239" spans="2:47" x14ac:dyDescent="0.25">
      <c r="B239" s="575">
        <v>43225</v>
      </c>
      <c r="C239" s="575" t="str">
        <f>MONTH(Table_NFI[[#This Row],[Distribution Date]]) &amp; "/" &amp; YEAR(Table_NFI[[#This Row],[Distribution Date]])</f>
        <v>5/2018</v>
      </c>
      <c r="D239" s="715" t="s">
        <v>825</v>
      </c>
      <c r="E239" s="715" t="s">
        <v>825</v>
      </c>
      <c r="F239" s="715" t="s">
        <v>378</v>
      </c>
      <c r="G239" s="715" t="s">
        <v>480</v>
      </c>
      <c r="H239" s="715" t="s">
        <v>1819</v>
      </c>
      <c r="I239" s="715"/>
      <c r="J239" s="715">
        <v>28</v>
      </c>
      <c r="K239" s="576"/>
      <c r="L239" s="715"/>
      <c r="M239" s="715"/>
      <c r="N239" s="715">
        <v>28</v>
      </c>
      <c r="O239" s="715">
        <v>28</v>
      </c>
      <c r="P239" s="715">
        <v>28</v>
      </c>
      <c r="Q239" s="715">
        <v>28</v>
      </c>
      <c r="R239" s="576"/>
      <c r="S239" s="715"/>
      <c r="T239" s="715"/>
      <c r="U239" s="576"/>
      <c r="V239" s="576"/>
      <c r="W239" s="576"/>
      <c r="X239" s="576"/>
      <c r="Y239" s="715"/>
      <c r="Z239" s="576"/>
      <c r="AA239" s="576"/>
      <c r="AB239" s="576"/>
      <c r="AC239" s="577" t="e">
        <f>IF(NFI_Expiration=1,IF(#REF!&lt;VLOOKUP(L$5,NFI,5,0),1,0)*Table_NFI[[#This Row],[NFI Core Kit]],Table_NFI[NFI Core Kit])</f>
        <v>#REF!</v>
      </c>
      <c r="AD239" s="577" t="e">
        <f>IF(NFI_Expiration=1,IF(#REF!&lt;VLOOKUP(M$5,NFI,5,0),1,0)*Table_NFI[[#This Row],[Sanitary Kit]],Table_NFI[Sanitary Kit])</f>
        <v>#REF!</v>
      </c>
      <c r="AE239" s="577" t="e">
        <f>IF(NFI_Expiration=1,IF(#REF!&lt;VLOOKUP(N$5,NFI,5,0),1,0)*Table_NFI[[#This Row],[Mosquito net]],Table_NFI[Mosquito net])</f>
        <v>#REF!</v>
      </c>
      <c r="AF239" s="577" t="e">
        <f>IF(NFI_Expiration=1,IF(#REF!&lt;VLOOKUP(O$5,NFI,5,0),1,0)*Table_NFI[[#This Row],[Tarpaulin]],Table_NFI[[#This Row],[Tarpaulin]])</f>
        <v>#REF!</v>
      </c>
      <c r="AG239" s="577" t="e">
        <f>IF(NFI_Expiration=1,IF(#REF!&lt;VLOOKUP(P$5,NFI,5,0),1,0)*Table_NFI[[#This Row],[Blanket]],Table_NFI[[#This Row],[Blanket]])</f>
        <v>#REF!</v>
      </c>
      <c r="AH239" s="577" t="e">
        <f>IF(NFI_Expiration=1,IF(#REF!&lt;VLOOKUP(Q$5,NFI,5,0),1,0)*Table_NFI[[#This Row],[Kitchen Set]],Table_NFI[Kitchen Set])</f>
        <v>#REF!</v>
      </c>
      <c r="AI239" s="577" t="e">
        <f>IF(NFI_Expiration=1,IF(#REF!&lt;VLOOKUP(R$5,NFI,5,0),1,0)*Table_NFI[[#This Row],[Clothes Kit]],Table_NFI[Clothes Kit])</f>
        <v>#REF!</v>
      </c>
      <c r="AJ239" s="577" t="e">
        <f>IF(NFI_Expiration=1,IF(#REF!&lt;VLOOKUP(S$5,NFI,5,0),1,0)*Table_NFI[[#This Row],[Plastic Bucket]],Table_NFI[Plastic Bucket])</f>
        <v>#REF!</v>
      </c>
      <c r="AK239" s="577" t="e">
        <f>IF(NFI_Expiration=1,IF(#REF!&lt;VLOOKUP(T$5,NFI,5,0),1,0)*Table_NFI[[#This Row],[Plastic Mat]],Table_NFI[Plastic Mat])*IF(Table_NFI[[#This Row],[Distribution Date]]&gt;"2014-04-01",1,2.5)</f>
        <v>#REF!</v>
      </c>
      <c r="AL239" s="577" t="e">
        <f>IF(NFI_Expiration=1,IF(#REF!&lt;VLOOKUP(U$5,NFI,5,0),1,0)*Table_NFI[[#This Row],[Winter Clothes Adult]],Table_NFI[Winter Clothes Adult])</f>
        <v>#REF!</v>
      </c>
      <c r="AM239" s="577"/>
      <c r="AN239" s="577"/>
      <c r="AO239" s="577"/>
      <c r="AP239" s="577">
        <f>IF(Table_NFI[[#This Row],[Winter Clothes Adult]]+Table_NFI[[#This Row],[Winter Clothes Children]]+Table_NFI[[#This Row],[Winter Items Other]]+Table_NFI[[#This Row],[Winter Blanket]]&gt;0,1,0)</f>
        <v>0</v>
      </c>
      <c r="AQ239" s="577"/>
      <c r="AR239" s="577"/>
      <c r="AS239" s="577"/>
      <c r="AT239" s="220" t="str">
        <f>IFERROR(VLOOKUP(Table_NFI[[#This Row],[Location]],CL,2,0),"")</f>
        <v/>
      </c>
      <c r="AU239" s="197"/>
    </row>
    <row r="240" spans="2:47" x14ac:dyDescent="0.25">
      <c r="B240" s="575">
        <v>43228</v>
      </c>
      <c r="C240" s="575" t="str">
        <f>MONTH(Table_NFI[[#This Row],[Distribution Date]]) &amp; "/" &amp; YEAR(Table_NFI[[#This Row],[Distribution Date]])</f>
        <v>5/2018</v>
      </c>
      <c r="D240" s="715" t="s">
        <v>825</v>
      </c>
      <c r="E240" s="715" t="s">
        <v>825</v>
      </c>
      <c r="F240" s="715" t="s">
        <v>378</v>
      </c>
      <c r="G240" s="715" t="s">
        <v>1806</v>
      </c>
      <c r="H240" s="715" t="s">
        <v>1820</v>
      </c>
      <c r="I240" s="715"/>
      <c r="J240" s="715"/>
      <c r="K240" s="576"/>
      <c r="L240" s="715"/>
      <c r="M240" s="715">
        <v>29</v>
      </c>
      <c r="N240" s="715">
        <v>29</v>
      </c>
      <c r="O240" s="715"/>
      <c r="P240" s="715"/>
      <c r="Q240" s="715">
        <v>29</v>
      </c>
      <c r="R240" s="576"/>
      <c r="S240" s="715"/>
      <c r="T240" s="715"/>
      <c r="U240" s="576"/>
      <c r="V240" s="576"/>
      <c r="W240" s="576"/>
      <c r="X240" s="576"/>
      <c r="Y240" s="715"/>
      <c r="Z240" s="576"/>
      <c r="AA240" s="576"/>
      <c r="AB240" s="576"/>
      <c r="AC240" s="577" t="e">
        <f>IF(NFI_Expiration=1,IF(#REF!&lt;VLOOKUP(L$5,NFI,5,0),1,0)*Table_NFI[[#This Row],[NFI Core Kit]],Table_NFI[NFI Core Kit])</f>
        <v>#REF!</v>
      </c>
      <c r="AD240" s="577" t="e">
        <f>IF(NFI_Expiration=1,IF(#REF!&lt;VLOOKUP(M$5,NFI,5,0),1,0)*Table_NFI[[#This Row],[Sanitary Kit]],Table_NFI[Sanitary Kit])</f>
        <v>#REF!</v>
      </c>
      <c r="AE240" s="577" t="e">
        <f>IF(NFI_Expiration=1,IF(#REF!&lt;VLOOKUP(N$5,NFI,5,0),1,0)*Table_NFI[[#This Row],[Mosquito net]],Table_NFI[Mosquito net])</f>
        <v>#REF!</v>
      </c>
      <c r="AF240" s="577" t="e">
        <f>IF(NFI_Expiration=1,IF(#REF!&lt;VLOOKUP(O$5,NFI,5,0),1,0)*Table_NFI[[#This Row],[Tarpaulin]],Table_NFI[[#This Row],[Tarpaulin]])</f>
        <v>#REF!</v>
      </c>
      <c r="AG240" s="577" t="e">
        <f>IF(NFI_Expiration=1,IF(#REF!&lt;VLOOKUP(P$5,NFI,5,0),1,0)*Table_NFI[[#This Row],[Blanket]],Table_NFI[[#This Row],[Blanket]])</f>
        <v>#REF!</v>
      </c>
      <c r="AH240" s="577" t="e">
        <f>IF(NFI_Expiration=1,IF(#REF!&lt;VLOOKUP(Q$5,NFI,5,0),1,0)*Table_NFI[[#This Row],[Kitchen Set]],Table_NFI[Kitchen Set])</f>
        <v>#REF!</v>
      </c>
      <c r="AI240" s="577" t="e">
        <f>IF(NFI_Expiration=1,IF(#REF!&lt;VLOOKUP(R$5,NFI,5,0),1,0)*Table_NFI[[#This Row],[Clothes Kit]],Table_NFI[Clothes Kit])</f>
        <v>#REF!</v>
      </c>
      <c r="AJ240" s="577" t="e">
        <f>IF(NFI_Expiration=1,IF(#REF!&lt;VLOOKUP(S$5,NFI,5,0),1,0)*Table_NFI[[#This Row],[Plastic Bucket]],Table_NFI[Plastic Bucket])</f>
        <v>#REF!</v>
      </c>
      <c r="AK240" s="577" t="e">
        <f>IF(NFI_Expiration=1,IF(#REF!&lt;VLOOKUP(T$5,NFI,5,0),1,0)*Table_NFI[[#This Row],[Plastic Mat]],Table_NFI[Plastic Mat])*IF(Table_NFI[[#This Row],[Distribution Date]]&gt;"2014-04-01",1,2.5)</f>
        <v>#REF!</v>
      </c>
      <c r="AL240" s="577" t="e">
        <f>IF(NFI_Expiration=1,IF(#REF!&lt;VLOOKUP(U$5,NFI,5,0),1,0)*Table_NFI[[#This Row],[Winter Clothes Adult]],Table_NFI[Winter Clothes Adult])</f>
        <v>#REF!</v>
      </c>
      <c r="AM240" s="577"/>
      <c r="AN240" s="577"/>
      <c r="AO240" s="577"/>
      <c r="AP240" s="577">
        <f>IF(Table_NFI[[#This Row],[Winter Clothes Adult]]+Table_NFI[[#This Row],[Winter Clothes Children]]+Table_NFI[[#This Row],[Winter Items Other]]+Table_NFI[[#This Row],[Winter Blanket]]&gt;0,1,0)</f>
        <v>0</v>
      </c>
      <c r="AQ240" s="577"/>
      <c r="AR240" s="577"/>
      <c r="AS240" s="577"/>
      <c r="AT240" s="220" t="str">
        <f>IFERROR(VLOOKUP(Table_NFI[[#This Row],[Location]],CL,2,0),"")</f>
        <v/>
      </c>
      <c r="AU240" s="197"/>
    </row>
    <row r="241" spans="2:47" x14ac:dyDescent="0.25">
      <c r="B241" s="575">
        <v>43228</v>
      </c>
      <c r="C241" s="575" t="str">
        <f>MONTH(Table_NFI[[#This Row],[Distribution Date]]) &amp; "/" &amp; YEAR(Table_NFI[[#This Row],[Distribution Date]])</f>
        <v>5/2018</v>
      </c>
      <c r="D241" s="715" t="s">
        <v>825</v>
      </c>
      <c r="E241" s="715" t="s">
        <v>825</v>
      </c>
      <c r="F241" s="715" t="s">
        <v>378</v>
      </c>
      <c r="G241" s="715" t="s">
        <v>1137</v>
      </c>
      <c r="H241" s="715" t="s">
        <v>1821</v>
      </c>
      <c r="I241" s="715"/>
      <c r="J241" s="715"/>
      <c r="K241" s="576"/>
      <c r="L241" s="715"/>
      <c r="M241" s="715"/>
      <c r="N241" s="715">
        <v>67</v>
      </c>
      <c r="O241" s="715"/>
      <c r="P241" s="715"/>
      <c r="Q241" s="715"/>
      <c r="R241" s="576"/>
      <c r="S241" s="715"/>
      <c r="T241" s="715"/>
      <c r="U241" s="576"/>
      <c r="V241" s="576"/>
      <c r="W241" s="576"/>
      <c r="X241" s="576"/>
      <c r="Y241" s="715"/>
      <c r="Z241" s="576"/>
      <c r="AA241" s="576"/>
      <c r="AB241" s="576"/>
      <c r="AC241" s="577" t="e">
        <f>IF(NFI_Expiration=1,IF(#REF!&lt;VLOOKUP(L$5,NFI,5,0),1,0)*Table_NFI[[#This Row],[NFI Core Kit]],Table_NFI[NFI Core Kit])</f>
        <v>#REF!</v>
      </c>
      <c r="AD241" s="577" t="e">
        <f>IF(NFI_Expiration=1,IF(#REF!&lt;VLOOKUP(M$5,NFI,5,0),1,0)*Table_NFI[[#This Row],[Sanitary Kit]],Table_NFI[Sanitary Kit])</f>
        <v>#REF!</v>
      </c>
      <c r="AE241" s="577" t="e">
        <f>IF(NFI_Expiration=1,IF(#REF!&lt;VLOOKUP(N$5,NFI,5,0),1,0)*Table_NFI[[#This Row],[Mosquito net]],Table_NFI[Mosquito net])</f>
        <v>#REF!</v>
      </c>
      <c r="AF241" s="577" t="e">
        <f>IF(NFI_Expiration=1,IF(#REF!&lt;VLOOKUP(O$5,NFI,5,0),1,0)*Table_NFI[[#This Row],[Tarpaulin]],Table_NFI[[#This Row],[Tarpaulin]])</f>
        <v>#REF!</v>
      </c>
      <c r="AG241" s="577" t="e">
        <f>IF(NFI_Expiration=1,IF(#REF!&lt;VLOOKUP(P$5,NFI,5,0),1,0)*Table_NFI[[#This Row],[Blanket]],Table_NFI[[#This Row],[Blanket]])</f>
        <v>#REF!</v>
      </c>
      <c r="AH241" s="577" t="e">
        <f>IF(NFI_Expiration=1,IF(#REF!&lt;VLOOKUP(Q$5,NFI,5,0),1,0)*Table_NFI[[#This Row],[Kitchen Set]],Table_NFI[Kitchen Set])</f>
        <v>#REF!</v>
      </c>
      <c r="AI241" s="577" t="e">
        <f>IF(NFI_Expiration=1,IF(#REF!&lt;VLOOKUP(R$5,NFI,5,0),1,0)*Table_NFI[[#This Row],[Clothes Kit]],Table_NFI[Clothes Kit])</f>
        <v>#REF!</v>
      </c>
      <c r="AJ241" s="577" t="e">
        <f>IF(NFI_Expiration=1,IF(#REF!&lt;VLOOKUP(S$5,NFI,5,0),1,0)*Table_NFI[[#This Row],[Plastic Bucket]],Table_NFI[Plastic Bucket])</f>
        <v>#REF!</v>
      </c>
      <c r="AK241" s="577" t="e">
        <f>IF(NFI_Expiration=1,IF(#REF!&lt;VLOOKUP(T$5,NFI,5,0),1,0)*Table_NFI[[#This Row],[Plastic Mat]],Table_NFI[Plastic Mat])*IF(Table_NFI[[#This Row],[Distribution Date]]&gt;"2014-04-01",1,2.5)</f>
        <v>#REF!</v>
      </c>
      <c r="AL241" s="577" t="e">
        <f>IF(NFI_Expiration=1,IF(#REF!&lt;VLOOKUP(U$5,NFI,5,0),1,0)*Table_NFI[[#This Row],[Winter Clothes Adult]],Table_NFI[Winter Clothes Adult])</f>
        <v>#REF!</v>
      </c>
      <c r="AM241" s="577"/>
      <c r="AN241" s="577"/>
      <c r="AO241" s="577"/>
      <c r="AP241" s="577">
        <f>IF(Table_NFI[[#This Row],[Winter Clothes Adult]]+Table_NFI[[#This Row],[Winter Clothes Children]]+Table_NFI[[#This Row],[Winter Items Other]]+Table_NFI[[#This Row],[Winter Blanket]]&gt;0,1,0)</f>
        <v>0</v>
      </c>
      <c r="AQ241" s="577"/>
      <c r="AR241" s="577"/>
      <c r="AS241" s="577"/>
      <c r="AT241" s="220" t="str">
        <f>IFERROR(VLOOKUP(Table_NFI[[#This Row],[Location]],CL,2,0),"")</f>
        <v/>
      </c>
      <c r="AU241" s="197"/>
    </row>
    <row r="242" spans="2:47" x14ac:dyDescent="0.25">
      <c r="B242" s="575">
        <v>43228</v>
      </c>
      <c r="C242" s="575" t="str">
        <f>MONTH(Table_NFI[[#This Row],[Distribution Date]]) &amp; "/" &amp; YEAR(Table_NFI[[#This Row],[Distribution Date]])</f>
        <v>5/2018</v>
      </c>
      <c r="D242" s="715" t="s">
        <v>825</v>
      </c>
      <c r="E242" s="715" t="s">
        <v>825</v>
      </c>
      <c r="F242" s="715" t="s">
        <v>378</v>
      </c>
      <c r="G242" s="715" t="s">
        <v>480</v>
      </c>
      <c r="H242" s="715" t="s">
        <v>1822</v>
      </c>
      <c r="I242" s="715"/>
      <c r="J242" s="715"/>
      <c r="K242" s="576"/>
      <c r="L242" s="715">
        <v>37</v>
      </c>
      <c r="M242" s="715"/>
      <c r="N242" s="715" t="s">
        <v>541</v>
      </c>
      <c r="O242" s="715">
        <f>37*2</f>
        <v>74</v>
      </c>
      <c r="P242" s="715">
        <f>37*2</f>
        <v>74</v>
      </c>
      <c r="Q242" s="715">
        <v>37</v>
      </c>
      <c r="R242" s="576"/>
      <c r="S242" s="715"/>
      <c r="T242" s="715"/>
      <c r="U242" s="576"/>
      <c r="V242" s="576"/>
      <c r="W242" s="576"/>
      <c r="X242" s="576"/>
      <c r="Y242" s="715">
        <v>37</v>
      </c>
      <c r="Z242" s="576"/>
      <c r="AA242" s="576"/>
      <c r="AB242" s="576"/>
      <c r="AC242" s="577" t="e">
        <f>IF(NFI_Expiration=1,IF(#REF!&lt;VLOOKUP(L$5,NFI,5,0),1,0)*Table_NFI[[#This Row],[NFI Core Kit]],Table_NFI[NFI Core Kit])</f>
        <v>#REF!</v>
      </c>
      <c r="AD242" s="577" t="e">
        <f>IF(NFI_Expiration=1,IF(#REF!&lt;VLOOKUP(M$5,NFI,5,0),1,0)*Table_NFI[[#This Row],[Sanitary Kit]],Table_NFI[Sanitary Kit])</f>
        <v>#REF!</v>
      </c>
      <c r="AE242" s="577" t="e">
        <f>IF(NFI_Expiration=1,IF(#REF!&lt;VLOOKUP(N$5,NFI,5,0),1,0)*Table_NFI[[#This Row],[Mosquito net]],Table_NFI[Mosquito net])</f>
        <v>#REF!</v>
      </c>
      <c r="AF242" s="577" t="e">
        <f>IF(NFI_Expiration=1,IF(#REF!&lt;VLOOKUP(O$5,NFI,5,0),1,0)*Table_NFI[[#This Row],[Tarpaulin]],Table_NFI[[#This Row],[Tarpaulin]])</f>
        <v>#REF!</v>
      </c>
      <c r="AG242" s="577" t="e">
        <f>IF(NFI_Expiration=1,IF(#REF!&lt;VLOOKUP(P$5,NFI,5,0),1,0)*Table_NFI[[#This Row],[Blanket]],Table_NFI[[#This Row],[Blanket]])</f>
        <v>#REF!</v>
      </c>
      <c r="AH242" s="577" t="e">
        <f>IF(NFI_Expiration=1,IF(#REF!&lt;VLOOKUP(Q$5,NFI,5,0),1,0)*Table_NFI[[#This Row],[Kitchen Set]],Table_NFI[Kitchen Set])</f>
        <v>#REF!</v>
      </c>
      <c r="AI242" s="577" t="e">
        <f>IF(NFI_Expiration=1,IF(#REF!&lt;VLOOKUP(R$5,NFI,5,0),1,0)*Table_NFI[[#This Row],[Clothes Kit]],Table_NFI[Clothes Kit])</f>
        <v>#REF!</v>
      </c>
      <c r="AJ242" s="577" t="e">
        <f>IF(NFI_Expiration=1,IF(#REF!&lt;VLOOKUP(S$5,NFI,5,0),1,0)*Table_NFI[[#This Row],[Plastic Bucket]],Table_NFI[Plastic Bucket])</f>
        <v>#REF!</v>
      </c>
      <c r="AK242" s="577" t="e">
        <f>IF(NFI_Expiration=1,IF(#REF!&lt;VLOOKUP(T$5,NFI,5,0),1,0)*Table_NFI[[#This Row],[Plastic Mat]],Table_NFI[Plastic Mat])*IF(Table_NFI[[#This Row],[Distribution Date]]&gt;"2014-04-01",1,2.5)</f>
        <v>#REF!</v>
      </c>
      <c r="AL242" s="577" t="e">
        <f>IF(NFI_Expiration=1,IF(#REF!&lt;VLOOKUP(U$5,NFI,5,0),1,0)*Table_NFI[[#This Row],[Winter Clothes Adult]],Table_NFI[Winter Clothes Adult])</f>
        <v>#REF!</v>
      </c>
      <c r="AM242" s="577"/>
      <c r="AN242" s="577"/>
      <c r="AO242" s="577"/>
      <c r="AP242" s="577">
        <f>IF(Table_NFI[[#This Row],[Winter Clothes Adult]]+Table_NFI[[#This Row],[Winter Clothes Children]]+Table_NFI[[#This Row],[Winter Items Other]]+Table_NFI[[#This Row],[Winter Blanket]]&gt;0,1,0)</f>
        <v>0</v>
      </c>
      <c r="AQ242" s="577"/>
      <c r="AR242" s="577"/>
      <c r="AS242" s="577"/>
      <c r="AT242" s="220" t="str">
        <f>IFERROR(VLOOKUP(Table_NFI[[#This Row],[Location]],CL,2,0),"")</f>
        <v/>
      </c>
      <c r="AU242" s="197"/>
    </row>
    <row r="243" spans="2:47" x14ac:dyDescent="0.25">
      <c r="B243" s="575">
        <v>43228</v>
      </c>
      <c r="C243" s="575" t="str">
        <f>MONTH(Table_NFI[[#This Row],[Distribution Date]]) &amp; "/" &amp; YEAR(Table_NFI[[#This Row],[Distribution Date]])</f>
        <v>5/2018</v>
      </c>
      <c r="D243" s="715" t="s">
        <v>825</v>
      </c>
      <c r="E243" s="715" t="s">
        <v>825</v>
      </c>
      <c r="F243" s="715" t="s">
        <v>378</v>
      </c>
      <c r="G243" s="715" t="s">
        <v>237</v>
      </c>
      <c r="H243" s="715" t="s">
        <v>1823</v>
      </c>
      <c r="I243" s="715"/>
      <c r="J243" s="715">
        <v>92</v>
      </c>
      <c r="K243" s="576"/>
      <c r="L243" s="715">
        <v>92</v>
      </c>
      <c r="M243" s="715"/>
      <c r="N243" s="715"/>
      <c r="O243" s="715">
        <f>92*2</f>
        <v>184</v>
      </c>
      <c r="P243" s="715">
        <f>92*2</f>
        <v>184</v>
      </c>
      <c r="Q243" s="715">
        <v>92</v>
      </c>
      <c r="R243" s="576"/>
      <c r="S243" s="715"/>
      <c r="T243" s="715"/>
      <c r="U243" s="576"/>
      <c r="V243" s="576"/>
      <c r="W243" s="576"/>
      <c r="X243" s="576"/>
      <c r="Y243" s="715">
        <v>92</v>
      </c>
      <c r="Z243" s="576"/>
      <c r="AA243" s="576"/>
      <c r="AB243" s="576"/>
      <c r="AC243" s="577" t="e">
        <f>IF(NFI_Expiration=1,IF(#REF!&lt;VLOOKUP(L$5,NFI,5,0),1,0)*Table_NFI[[#This Row],[NFI Core Kit]],Table_NFI[NFI Core Kit])</f>
        <v>#REF!</v>
      </c>
      <c r="AD243" s="577" t="e">
        <f>IF(NFI_Expiration=1,IF(#REF!&lt;VLOOKUP(M$5,NFI,5,0),1,0)*Table_NFI[[#This Row],[Sanitary Kit]],Table_NFI[Sanitary Kit])</f>
        <v>#REF!</v>
      </c>
      <c r="AE243" s="577" t="e">
        <f>IF(NFI_Expiration=1,IF(#REF!&lt;VLOOKUP(N$5,NFI,5,0),1,0)*Table_NFI[[#This Row],[Mosquito net]],Table_NFI[Mosquito net])</f>
        <v>#REF!</v>
      </c>
      <c r="AF243" s="577" t="e">
        <f>IF(NFI_Expiration=1,IF(#REF!&lt;VLOOKUP(O$5,NFI,5,0),1,0)*Table_NFI[[#This Row],[Tarpaulin]],Table_NFI[[#This Row],[Tarpaulin]])</f>
        <v>#REF!</v>
      </c>
      <c r="AG243" s="577" t="e">
        <f>IF(NFI_Expiration=1,IF(#REF!&lt;VLOOKUP(P$5,NFI,5,0),1,0)*Table_NFI[[#This Row],[Blanket]],Table_NFI[[#This Row],[Blanket]])</f>
        <v>#REF!</v>
      </c>
      <c r="AH243" s="577" t="e">
        <f>IF(NFI_Expiration=1,IF(#REF!&lt;VLOOKUP(Q$5,NFI,5,0),1,0)*Table_NFI[[#This Row],[Kitchen Set]],Table_NFI[Kitchen Set])</f>
        <v>#REF!</v>
      </c>
      <c r="AI243" s="577" t="e">
        <f>IF(NFI_Expiration=1,IF(#REF!&lt;VLOOKUP(R$5,NFI,5,0),1,0)*Table_NFI[[#This Row],[Clothes Kit]],Table_NFI[Clothes Kit])</f>
        <v>#REF!</v>
      </c>
      <c r="AJ243" s="577" t="e">
        <f>IF(NFI_Expiration=1,IF(#REF!&lt;VLOOKUP(S$5,NFI,5,0),1,0)*Table_NFI[[#This Row],[Plastic Bucket]],Table_NFI[Plastic Bucket])</f>
        <v>#REF!</v>
      </c>
      <c r="AK243" s="577" t="e">
        <f>IF(NFI_Expiration=1,IF(#REF!&lt;VLOOKUP(T$5,NFI,5,0),1,0)*Table_NFI[[#This Row],[Plastic Mat]],Table_NFI[Plastic Mat])*IF(Table_NFI[[#This Row],[Distribution Date]]&gt;"2014-04-01",1,2.5)</f>
        <v>#REF!</v>
      </c>
      <c r="AL243" s="577" t="e">
        <f>IF(NFI_Expiration=1,IF(#REF!&lt;VLOOKUP(U$5,NFI,5,0),1,0)*Table_NFI[[#This Row],[Winter Clothes Adult]],Table_NFI[Winter Clothes Adult])</f>
        <v>#REF!</v>
      </c>
      <c r="AM243" s="577"/>
      <c r="AN243" s="577"/>
      <c r="AO243" s="577"/>
      <c r="AP243" s="577">
        <f>IF(Table_NFI[[#This Row],[Winter Clothes Adult]]+Table_NFI[[#This Row],[Winter Clothes Children]]+Table_NFI[[#This Row],[Winter Items Other]]+Table_NFI[[#This Row],[Winter Blanket]]&gt;0,1,0)</f>
        <v>0</v>
      </c>
      <c r="AQ243" s="577"/>
      <c r="AR243" s="577"/>
      <c r="AS243" s="577"/>
      <c r="AT243" s="220" t="str">
        <f>IFERROR(VLOOKUP(Table_NFI[[#This Row],[Location]],CL,2,0),"")</f>
        <v/>
      </c>
      <c r="AU243" s="197"/>
    </row>
    <row r="244" spans="2:47" x14ac:dyDescent="0.25">
      <c r="B244" s="575">
        <v>43228</v>
      </c>
      <c r="C244" s="575" t="str">
        <f>MONTH(Table_NFI[[#This Row],[Distribution Date]]) &amp; "/" &amp; YEAR(Table_NFI[[#This Row],[Distribution Date]])</f>
        <v>5/2018</v>
      </c>
      <c r="D244" s="715" t="s">
        <v>778</v>
      </c>
      <c r="E244" s="715" t="s">
        <v>778</v>
      </c>
      <c r="F244" s="715" t="s">
        <v>378</v>
      </c>
      <c r="G244" s="715" t="s">
        <v>237</v>
      </c>
      <c r="H244" s="715" t="s">
        <v>1814</v>
      </c>
      <c r="I244" s="715"/>
      <c r="J244" s="715"/>
      <c r="K244" s="576"/>
      <c r="L244" s="715"/>
      <c r="M244" s="715"/>
      <c r="N244" s="715">
        <v>101</v>
      </c>
      <c r="O244" s="715"/>
      <c r="P244" s="715">
        <v>101</v>
      </c>
      <c r="Q244" s="715"/>
      <c r="R244" s="576"/>
      <c r="S244" s="715"/>
      <c r="T244" s="715">
        <v>101</v>
      </c>
      <c r="U244" s="576"/>
      <c r="V244" s="576"/>
      <c r="W244" s="576"/>
      <c r="X244" s="576"/>
      <c r="Y244" s="715"/>
      <c r="Z244" s="576"/>
      <c r="AA244" s="576"/>
      <c r="AB244" s="576"/>
      <c r="AC244" s="577" t="e">
        <f>IF(NFI_Expiration=1,IF(#REF!&lt;VLOOKUP(L$5,NFI,5,0),1,0)*Table_NFI[[#This Row],[NFI Core Kit]],Table_NFI[NFI Core Kit])</f>
        <v>#REF!</v>
      </c>
      <c r="AD244" s="577" t="e">
        <f>IF(NFI_Expiration=1,IF(#REF!&lt;VLOOKUP(M$5,NFI,5,0),1,0)*Table_NFI[[#This Row],[Sanitary Kit]],Table_NFI[Sanitary Kit])</f>
        <v>#REF!</v>
      </c>
      <c r="AE244" s="577" t="e">
        <f>IF(NFI_Expiration=1,IF(#REF!&lt;VLOOKUP(N$5,NFI,5,0),1,0)*Table_NFI[[#This Row],[Mosquito net]],Table_NFI[Mosquito net])</f>
        <v>#REF!</v>
      </c>
      <c r="AF244" s="577" t="e">
        <f>IF(NFI_Expiration=1,IF(#REF!&lt;VLOOKUP(O$5,NFI,5,0),1,0)*Table_NFI[[#This Row],[Tarpaulin]],Table_NFI[[#This Row],[Tarpaulin]])</f>
        <v>#REF!</v>
      </c>
      <c r="AG244" s="577" t="e">
        <f>IF(NFI_Expiration=1,IF(#REF!&lt;VLOOKUP(P$5,NFI,5,0),1,0)*Table_NFI[[#This Row],[Blanket]],Table_NFI[[#This Row],[Blanket]])</f>
        <v>#REF!</v>
      </c>
      <c r="AH244" s="577" t="e">
        <f>IF(NFI_Expiration=1,IF(#REF!&lt;VLOOKUP(Q$5,NFI,5,0),1,0)*Table_NFI[[#This Row],[Kitchen Set]],Table_NFI[Kitchen Set])</f>
        <v>#REF!</v>
      </c>
      <c r="AI244" s="577" t="e">
        <f>IF(NFI_Expiration=1,IF(#REF!&lt;VLOOKUP(R$5,NFI,5,0),1,0)*Table_NFI[[#This Row],[Clothes Kit]],Table_NFI[Clothes Kit])</f>
        <v>#REF!</v>
      </c>
      <c r="AJ244" s="577" t="e">
        <f>IF(NFI_Expiration=1,IF(#REF!&lt;VLOOKUP(S$5,NFI,5,0),1,0)*Table_NFI[[#This Row],[Plastic Bucket]],Table_NFI[Plastic Bucket])</f>
        <v>#REF!</v>
      </c>
      <c r="AK244" s="577" t="e">
        <f>IF(NFI_Expiration=1,IF(#REF!&lt;VLOOKUP(T$5,NFI,5,0),1,0)*Table_NFI[[#This Row],[Plastic Mat]],Table_NFI[Plastic Mat])*IF(Table_NFI[[#This Row],[Distribution Date]]&gt;"2014-04-01",1,2.5)</f>
        <v>#REF!</v>
      </c>
      <c r="AL244" s="577" t="e">
        <f>IF(NFI_Expiration=1,IF(#REF!&lt;VLOOKUP(U$5,NFI,5,0),1,0)*Table_NFI[[#This Row],[Winter Clothes Adult]],Table_NFI[Winter Clothes Adult])</f>
        <v>#REF!</v>
      </c>
      <c r="AM244" s="577"/>
      <c r="AN244" s="577"/>
      <c r="AO244" s="577"/>
      <c r="AP244" s="577">
        <f>IF(Table_NFI[[#This Row],[Winter Clothes Adult]]+Table_NFI[[#This Row],[Winter Clothes Children]]+Table_NFI[[#This Row],[Winter Items Other]]+Table_NFI[[#This Row],[Winter Blanket]]&gt;0,1,0)</f>
        <v>0</v>
      </c>
      <c r="AQ244" s="577"/>
      <c r="AR244" s="577"/>
      <c r="AS244" s="577"/>
      <c r="AT244" s="220" t="str">
        <f>IFERROR(VLOOKUP(Table_NFI[[#This Row],[Location]],CL,2,0),"")</f>
        <v/>
      </c>
      <c r="AU244" s="197"/>
    </row>
    <row r="245" spans="2:47" x14ac:dyDescent="0.25">
      <c r="B245" s="575">
        <v>43228</v>
      </c>
      <c r="C245" s="575" t="str">
        <f>MONTH(Table_NFI[[#This Row],[Distribution Date]]) &amp; "/" &amp; YEAR(Table_NFI[[#This Row],[Distribution Date]])</f>
        <v>5/2018</v>
      </c>
      <c r="D245" s="715" t="s">
        <v>778</v>
      </c>
      <c r="E245" s="715" t="s">
        <v>778</v>
      </c>
      <c r="F245" s="715" t="s">
        <v>378</v>
      </c>
      <c r="G245" s="715" t="s">
        <v>237</v>
      </c>
      <c r="H245" s="715" t="s">
        <v>1824</v>
      </c>
      <c r="I245" s="715"/>
      <c r="J245" s="715"/>
      <c r="K245" s="576"/>
      <c r="L245" s="715"/>
      <c r="M245" s="715"/>
      <c r="N245" s="715">
        <v>279</v>
      </c>
      <c r="O245" s="715"/>
      <c r="P245" s="715">
        <v>279</v>
      </c>
      <c r="Q245" s="715"/>
      <c r="R245" s="576"/>
      <c r="S245" s="715"/>
      <c r="T245" s="715">
        <v>279</v>
      </c>
      <c r="U245" s="576"/>
      <c r="V245" s="576"/>
      <c r="W245" s="576"/>
      <c r="X245" s="576"/>
      <c r="Y245" s="715"/>
      <c r="Z245" s="576"/>
      <c r="AA245" s="576"/>
      <c r="AB245" s="576"/>
      <c r="AC245" s="577" t="e">
        <f>IF(NFI_Expiration=1,IF(#REF!&lt;VLOOKUP(L$5,NFI,5,0),1,0)*Table_NFI[[#This Row],[NFI Core Kit]],Table_NFI[NFI Core Kit])</f>
        <v>#REF!</v>
      </c>
      <c r="AD245" s="577" t="e">
        <f>IF(NFI_Expiration=1,IF(#REF!&lt;VLOOKUP(M$5,NFI,5,0),1,0)*Table_NFI[[#This Row],[Sanitary Kit]],Table_NFI[Sanitary Kit])</f>
        <v>#REF!</v>
      </c>
      <c r="AE245" s="577" t="e">
        <f>IF(NFI_Expiration=1,IF(#REF!&lt;VLOOKUP(N$5,NFI,5,0),1,0)*Table_NFI[[#This Row],[Mosquito net]],Table_NFI[Mosquito net])</f>
        <v>#REF!</v>
      </c>
      <c r="AF245" s="577" t="e">
        <f>IF(NFI_Expiration=1,IF(#REF!&lt;VLOOKUP(O$5,NFI,5,0),1,0)*Table_NFI[[#This Row],[Tarpaulin]],Table_NFI[[#This Row],[Tarpaulin]])</f>
        <v>#REF!</v>
      </c>
      <c r="AG245" s="577" t="e">
        <f>IF(NFI_Expiration=1,IF(#REF!&lt;VLOOKUP(P$5,NFI,5,0),1,0)*Table_NFI[[#This Row],[Blanket]],Table_NFI[[#This Row],[Blanket]])</f>
        <v>#REF!</v>
      </c>
      <c r="AH245" s="577" t="e">
        <f>IF(NFI_Expiration=1,IF(#REF!&lt;VLOOKUP(Q$5,NFI,5,0),1,0)*Table_NFI[[#This Row],[Kitchen Set]],Table_NFI[Kitchen Set])</f>
        <v>#REF!</v>
      </c>
      <c r="AI245" s="577" t="e">
        <f>IF(NFI_Expiration=1,IF(#REF!&lt;VLOOKUP(R$5,NFI,5,0),1,0)*Table_NFI[[#This Row],[Clothes Kit]],Table_NFI[Clothes Kit])</f>
        <v>#REF!</v>
      </c>
      <c r="AJ245" s="577" t="e">
        <f>IF(NFI_Expiration=1,IF(#REF!&lt;VLOOKUP(S$5,NFI,5,0),1,0)*Table_NFI[[#This Row],[Plastic Bucket]],Table_NFI[Plastic Bucket])</f>
        <v>#REF!</v>
      </c>
      <c r="AK245" s="577" t="e">
        <f>IF(NFI_Expiration=1,IF(#REF!&lt;VLOOKUP(T$5,NFI,5,0),1,0)*Table_NFI[[#This Row],[Plastic Mat]],Table_NFI[Plastic Mat])*IF(Table_NFI[[#This Row],[Distribution Date]]&gt;"2014-04-01",1,2.5)</f>
        <v>#REF!</v>
      </c>
      <c r="AL245" s="577" t="e">
        <f>IF(NFI_Expiration=1,IF(#REF!&lt;VLOOKUP(U$5,NFI,5,0),1,0)*Table_NFI[[#This Row],[Winter Clothes Adult]],Table_NFI[Winter Clothes Adult])</f>
        <v>#REF!</v>
      </c>
      <c r="AM245" s="577"/>
      <c r="AN245" s="577"/>
      <c r="AO245" s="577"/>
      <c r="AP245" s="577">
        <f>IF(Table_NFI[[#This Row],[Winter Clothes Adult]]+Table_NFI[[#This Row],[Winter Clothes Children]]+Table_NFI[[#This Row],[Winter Items Other]]+Table_NFI[[#This Row],[Winter Blanket]]&gt;0,1,0)</f>
        <v>0</v>
      </c>
      <c r="AQ245" s="577"/>
      <c r="AR245" s="577"/>
      <c r="AS245" s="577"/>
      <c r="AT245" s="220" t="str">
        <f>IFERROR(VLOOKUP(Table_NFI[[#This Row],[Location]],CL,2,0),"")</f>
        <v/>
      </c>
      <c r="AU245" s="197"/>
    </row>
    <row r="246" spans="2:47" x14ac:dyDescent="0.25">
      <c r="B246" s="575">
        <v>43228</v>
      </c>
      <c r="C246" s="575" t="str">
        <f>MONTH(Table_NFI[[#This Row],[Distribution Date]]) &amp; "/" &amp; YEAR(Table_NFI[[#This Row],[Distribution Date]])</f>
        <v>5/2018</v>
      </c>
      <c r="D246" s="715" t="s">
        <v>778</v>
      </c>
      <c r="E246" s="715" t="s">
        <v>778</v>
      </c>
      <c r="F246" s="715" t="s">
        <v>378</v>
      </c>
      <c r="G246" s="715" t="s">
        <v>237</v>
      </c>
      <c r="H246" s="715" t="s">
        <v>1823</v>
      </c>
      <c r="I246" s="715"/>
      <c r="J246" s="715"/>
      <c r="K246" s="576"/>
      <c r="L246" s="715"/>
      <c r="M246" s="715"/>
      <c r="N246" s="715">
        <v>92</v>
      </c>
      <c r="O246" s="715"/>
      <c r="P246" s="715">
        <v>92</v>
      </c>
      <c r="Q246" s="715"/>
      <c r="R246" s="576"/>
      <c r="S246" s="715"/>
      <c r="T246" s="715">
        <v>92</v>
      </c>
      <c r="U246" s="576"/>
      <c r="V246" s="576"/>
      <c r="W246" s="576"/>
      <c r="X246" s="576"/>
      <c r="Y246" s="715"/>
      <c r="Z246" s="576"/>
      <c r="AA246" s="576"/>
      <c r="AB246" s="576"/>
      <c r="AC246" s="577" t="e">
        <f>IF(NFI_Expiration=1,IF(#REF!&lt;VLOOKUP(L$5,NFI,5,0),1,0)*Table_NFI[[#This Row],[NFI Core Kit]],Table_NFI[NFI Core Kit])</f>
        <v>#REF!</v>
      </c>
      <c r="AD246" s="577" t="e">
        <f>IF(NFI_Expiration=1,IF(#REF!&lt;VLOOKUP(M$5,NFI,5,0),1,0)*Table_NFI[[#This Row],[Sanitary Kit]],Table_NFI[Sanitary Kit])</f>
        <v>#REF!</v>
      </c>
      <c r="AE246" s="577" t="e">
        <f>IF(NFI_Expiration=1,IF(#REF!&lt;VLOOKUP(N$5,NFI,5,0),1,0)*Table_NFI[[#This Row],[Mosquito net]],Table_NFI[Mosquito net])</f>
        <v>#REF!</v>
      </c>
      <c r="AF246" s="577" t="e">
        <f>IF(NFI_Expiration=1,IF(#REF!&lt;VLOOKUP(O$5,NFI,5,0),1,0)*Table_NFI[[#This Row],[Tarpaulin]],Table_NFI[[#This Row],[Tarpaulin]])</f>
        <v>#REF!</v>
      </c>
      <c r="AG246" s="577" t="e">
        <f>IF(NFI_Expiration=1,IF(#REF!&lt;VLOOKUP(P$5,NFI,5,0),1,0)*Table_NFI[[#This Row],[Blanket]],Table_NFI[[#This Row],[Blanket]])</f>
        <v>#REF!</v>
      </c>
      <c r="AH246" s="577" t="e">
        <f>IF(NFI_Expiration=1,IF(#REF!&lt;VLOOKUP(Q$5,NFI,5,0),1,0)*Table_NFI[[#This Row],[Kitchen Set]],Table_NFI[Kitchen Set])</f>
        <v>#REF!</v>
      </c>
      <c r="AI246" s="577" t="e">
        <f>IF(NFI_Expiration=1,IF(#REF!&lt;VLOOKUP(R$5,NFI,5,0),1,0)*Table_NFI[[#This Row],[Clothes Kit]],Table_NFI[Clothes Kit])</f>
        <v>#REF!</v>
      </c>
      <c r="AJ246" s="577" t="e">
        <f>IF(NFI_Expiration=1,IF(#REF!&lt;VLOOKUP(S$5,NFI,5,0),1,0)*Table_NFI[[#This Row],[Plastic Bucket]],Table_NFI[Plastic Bucket])</f>
        <v>#REF!</v>
      </c>
      <c r="AK246" s="577" t="e">
        <f>IF(NFI_Expiration=1,IF(#REF!&lt;VLOOKUP(T$5,NFI,5,0),1,0)*Table_NFI[[#This Row],[Plastic Mat]],Table_NFI[Plastic Mat])*IF(Table_NFI[[#This Row],[Distribution Date]]&gt;"2014-04-01",1,2.5)</f>
        <v>#REF!</v>
      </c>
      <c r="AL246" s="577" t="e">
        <f>IF(NFI_Expiration=1,IF(#REF!&lt;VLOOKUP(U$5,NFI,5,0),1,0)*Table_NFI[[#This Row],[Winter Clothes Adult]],Table_NFI[Winter Clothes Adult])</f>
        <v>#REF!</v>
      </c>
      <c r="AM246" s="577"/>
      <c r="AN246" s="577"/>
      <c r="AO246" s="577"/>
      <c r="AP246" s="577">
        <f>IF(Table_NFI[[#This Row],[Winter Clothes Adult]]+Table_NFI[[#This Row],[Winter Clothes Children]]+Table_NFI[[#This Row],[Winter Items Other]]+Table_NFI[[#This Row],[Winter Blanket]]&gt;0,1,0)</f>
        <v>0</v>
      </c>
      <c r="AQ246" s="577"/>
      <c r="AR246" s="577"/>
      <c r="AS246" s="577"/>
      <c r="AT246" s="220" t="str">
        <f>IFERROR(VLOOKUP(Table_NFI[[#This Row],[Location]],CL,2,0),"")</f>
        <v/>
      </c>
      <c r="AU246" s="197"/>
    </row>
    <row r="247" spans="2:47" x14ac:dyDescent="0.25">
      <c r="B247" s="575">
        <v>43228</v>
      </c>
      <c r="C247" s="575" t="str">
        <f>MONTH(Table_NFI[[#This Row],[Distribution Date]]) &amp; "/" &amp; YEAR(Table_NFI[[#This Row],[Distribution Date]])</f>
        <v>5/2018</v>
      </c>
      <c r="D247" s="715" t="s">
        <v>778</v>
      </c>
      <c r="E247" s="715" t="s">
        <v>778</v>
      </c>
      <c r="F247" s="715" t="s">
        <v>378</v>
      </c>
      <c r="G247" s="715" t="s">
        <v>1805</v>
      </c>
      <c r="H247" s="715" t="s">
        <v>1810</v>
      </c>
      <c r="I247" s="715"/>
      <c r="J247" s="715"/>
      <c r="K247" s="576"/>
      <c r="L247" s="715"/>
      <c r="M247" s="715"/>
      <c r="N247" s="715"/>
      <c r="O247" s="715"/>
      <c r="P247" s="715"/>
      <c r="Q247" s="715"/>
      <c r="R247" s="576"/>
      <c r="S247" s="715"/>
      <c r="T247" s="715"/>
      <c r="U247" s="576"/>
      <c r="V247" s="576"/>
      <c r="W247" s="576"/>
      <c r="X247" s="576"/>
      <c r="Y247" s="715"/>
      <c r="Z247" s="576"/>
      <c r="AA247" s="576"/>
      <c r="AB247" s="576"/>
      <c r="AC247" s="577" t="e">
        <f>IF(NFI_Expiration=1,IF(#REF!&lt;VLOOKUP(L$5,NFI,5,0),1,0)*Table_NFI[[#This Row],[NFI Core Kit]],Table_NFI[NFI Core Kit])</f>
        <v>#REF!</v>
      </c>
      <c r="AD247" s="577" t="e">
        <f>IF(NFI_Expiration=1,IF(#REF!&lt;VLOOKUP(M$5,NFI,5,0),1,0)*Table_NFI[[#This Row],[Sanitary Kit]],Table_NFI[Sanitary Kit])</f>
        <v>#REF!</v>
      </c>
      <c r="AE247" s="577" t="e">
        <f>IF(NFI_Expiration=1,IF(#REF!&lt;VLOOKUP(N$5,NFI,5,0),1,0)*Table_NFI[[#This Row],[Mosquito net]],Table_NFI[Mosquito net])</f>
        <v>#REF!</v>
      </c>
      <c r="AF247" s="577" t="e">
        <f>IF(NFI_Expiration=1,IF(#REF!&lt;VLOOKUP(O$5,NFI,5,0),1,0)*Table_NFI[[#This Row],[Tarpaulin]],Table_NFI[[#This Row],[Tarpaulin]])</f>
        <v>#REF!</v>
      </c>
      <c r="AG247" s="577" t="e">
        <f>IF(NFI_Expiration=1,IF(#REF!&lt;VLOOKUP(P$5,NFI,5,0),1,0)*Table_NFI[[#This Row],[Blanket]],Table_NFI[[#This Row],[Blanket]])</f>
        <v>#REF!</v>
      </c>
      <c r="AH247" s="577" t="e">
        <f>IF(NFI_Expiration=1,IF(#REF!&lt;VLOOKUP(Q$5,NFI,5,0),1,0)*Table_NFI[[#This Row],[Kitchen Set]],Table_NFI[Kitchen Set])</f>
        <v>#REF!</v>
      </c>
      <c r="AI247" s="577" t="e">
        <f>IF(NFI_Expiration=1,IF(#REF!&lt;VLOOKUP(R$5,NFI,5,0),1,0)*Table_NFI[[#This Row],[Clothes Kit]],Table_NFI[Clothes Kit])</f>
        <v>#REF!</v>
      </c>
      <c r="AJ247" s="577" t="e">
        <f>IF(NFI_Expiration=1,IF(#REF!&lt;VLOOKUP(S$5,NFI,5,0),1,0)*Table_NFI[[#This Row],[Plastic Bucket]],Table_NFI[Plastic Bucket])</f>
        <v>#REF!</v>
      </c>
      <c r="AK247" s="577" t="e">
        <f>IF(NFI_Expiration=1,IF(#REF!&lt;VLOOKUP(T$5,NFI,5,0),1,0)*Table_NFI[[#This Row],[Plastic Mat]],Table_NFI[Plastic Mat])*IF(Table_NFI[[#This Row],[Distribution Date]]&gt;"2014-04-01",1,2.5)</f>
        <v>#REF!</v>
      </c>
      <c r="AL247" s="577" t="e">
        <f>IF(NFI_Expiration=1,IF(#REF!&lt;VLOOKUP(U$5,NFI,5,0),1,0)*Table_NFI[[#This Row],[Winter Clothes Adult]],Table_NFI[Winter Clothes Adult])</f>
        <v>#REF!</v>
      </c>
      <c r="AM247" s="577"/>
      <c r="AN247" s="577"/>
      <c r="AO247" s="577"/>
      <c r="AP247" s="577">
        <f>IF(Table_NFI[[#This Row],[Winter Clothes Adult]]+Table_NFI[[#This Row],[Winter Clothes Children]]+Table_NFI[[#This Row],[Winter Items Other]]+Table_NFI[[#This Row],[Winter Blanket]]&gt;0,1,0)</f>
        <v>0</v>
      </c>
      <c r="AQ247" s="577"/>
      <c r="AR247" s="577"/>
      <c r="AS247" s="577"/>
      <c r="AT247" s="220" t="str">
        <f>IFERROR(VLOOKUP(Table_NFI[[#This Row],[Location]],CL,2,0),"")</f>
        <v/>
      </c>
      <c r="AU247" s="197"/>
    </row>
    <row r="248" spans="2:47" x14ac:dyDescent="0.25">
      <c r="B248" s="575">
        <v>43228</v>
      </c>
      <c r="C248" s="575" t="str">
        <f>MONTH(Table_NFI[[#This Row],[Distribution Date]]) &amp; "/" &amp; YEAR(Table_NFI[[#This Row],[Distribution Date]])</f>
        <v>5/2018</v>
      </c>
      <c r="D248" s="715" t="s">
        <v>778</v>
      </c>
      <c r="E248" s="715" t="s">
        <v>778</v>
      </c>
      <c r="F248" s="715" t="s">
        <v>378</v>
      </c>
      <c r="G248" s="715" t="s">
        <v>1805</v>
      </c>
      <c r="H248" s="715" t="s">
        <v>1811</v>
      </c>
      <c r="I248" s="715"/>
      <c r="J248" s="715"/>
      <c r="K248" s="576"/>
      <c r="L248" s="715"/>
      <c r="M248" s="715"/>
      <c r="N248" s="715"/>
      <c r="O248" s="715"/>
      <c r="P248" s="715"/>
      <c r="Q248" s="715"/>
      <c r="R248" s="576"/>
      <c r="S248" s="715"/>
      <c r="T248" s="715"/>
      <c r="U248" s="576"/>
      <c r="V248" s="576"/>
      <c r="W248" s="576"/>
      <c r="X248" s="576"/>
      <c r="Y248" s="715"/>
      <c r="Z248" s="576"/>
      <c r="AA248" s="576"/>
      <c r="AB248" s="576"/>
      <c r="AC248" s="577" t="e">
        <f>IF(NFI_Expiration=1,IF(#REF!&lt;VLOOKUP(L$5,NFI,5,0),1,0)*Table_NFI[[#This Row],[NFI Core Kit]],Table_NFI[NFI Core Kit])</f>
        <v>#REF!</v>
      </c>
      <c r="AD248" s="577" t="e">
        <f>IF(NFI_Expiration=1,IF(#REF!&lt;VLOOKUP(M$5,NFI,5,0),1,0)*Table_NFI[[#This Row],[Sanitary Kit]],Table_NFI[Sanitary Kit])</f>
        <v>#REF!</v>
      </c>
      <c r="AE248" s="577" t="e">
        <f>IF(NFI_Expiration=1,IF(#REF!&lt;VLOOKUP(N$5,NFI,5,0),1,0)*Table_NFI[[#This Row],[Mosquito net]],Table_NFI[Mosquito net])</f>
        <v>#REF!</v>
      </c>
      <c r="AF248" s="577" t="e">
        <f>IF(NFI_Expiration=1,IF(#REF!&lt;VLOOKUP(O$5,NFI,5,0),1,0)*Table_NFI[[#This Row],[Tarpaulin]],Table_NFI[[#This Row],[Tarpaulin]])</f>
        <v>#REF!</v>
      </c>
      <c r="AG248" s="577" t="e">
        <f>IF(NFI_Expiration=1,IF(#REF!&lt;VLOOKUP(P$5,NFI,5,0),1,0)*Table_NFI[[#This Row],[Blanket]],Table_NFI[[#This Row],[Blanket]])</f>
        <v>#REF!</v>
      </c>
      <c r="AH248" s="577" t="e">
        <f>IF(NFI_Expiration=1,IF(#REF!&lt;VLOOKUP(Q$5,NFI,5,0),1,0)*Table_NFI[[#This Row],[Kitchen Set]],Table_NFI[Kitchen Set])</f>
        <v>#REF!</v>
      </c>
      <c r="AI248" s="577" t="e">
        <f>IF(NFI_Expiration=1,IF(#REF!&lt;VLOOKUP(R$5,NFI,5,0),1,0)*Table_NFI[[#This Row],[Clothes Kit]],Table_NFI[Clothes Kit])</f>
        <v>#REF!</v>
      </c>
      <c r="AJ248" s="577" t="e">
        <f>IF(NFI_Expiration=1,IF(#REF!&lt;VLOOKUP(S$5,NFI,5,0),1,0)*Table_NFI[[#This Row],[Plastic Bucket]],Table_NFI[Plastic Bucket])</f>
        <v>#REF!</v>
      </c>
      <c r="AK248" s="577" t="e">
        <f>IF(NFI_Expiration=1,IF(#REF!&lt;VLOOKUP(T$5,NFI,5,0),1,0)*Table_NFI[[#This Row],[Plastic Mat]],Table_NFI[Plastic Mat])*IF(Table_NFI[[#This Row],[Distribution Date]]&gt;"2014-04-01",1,2.5)</f>
        <v>#REF!</v>
      </c>
      <c r="AL248" s="577" t="e">
        <f>IF(NFI_Expiration=1,IF(#REF!&lt;VLOOKUP(U$5,NFI,5,0),1,0)*Table_NFI[[#This Row],[Winter Clothes Adult]],Table_NFI[Winter Clothes Adult])</f>
        <v>#REF!</v>
      </c>
      <c r="AM248" s="577"/>
      <c r="AN248" s="577"/>
      <c r="AO248" s="577"/>
      <c r="AP248" s="577">
        <f>IF(Table_NFI[[#This Row],[Winter Clothes Adult]]+Table_NFI[[#This Row],[Winter Clothes Children]]+Table_NFI[[#This Row],[Winter Items Other]]+Table_NFI[[#This Row],[Winter Blanket]]&gt;0,1,0)</f>
        <v>0</v>
      </c>
      <c r="AQ248" s="577"/>
      <c r="AR248" s="577"/>
      <c r="AS248" s="577"/>
      <c r="AT248" s="220" t="str">
        <f>IFERROR(VLOOKUP(Table_NFI[[#This Row],[Location]],CL,2,0),"")</f>
        <v/>
      </c>
      <c r="AU248" s="197"/>
    </row>
    <row r="249" spans="2:47" x14ac:dyDescent="0.25">
      <c r="B249" s="575">
        <v>43228</v>
      </c>
      <c r="C249" s="575" t="str">
        <f>MONTH(Table_NFI[[#This Row],[Distribution Date]]) &amp; "/" &amp; YEAR(Table_NFI[[#This Row],[Distribution Date]])</f>
        <v>5/2018</v>
      </c>
      <c r="D249" s="715" t="s">
        <v>778</v>
      </c>
      <c r="E249" s="715" t="s">
        <v>778</v>
      </c>
      <c r="F249" s="715" t="s">
        <v>378</v>
      </c>
      <c r="G249" s="715" t="s">
        <v>1805</v>
      </c>
      <c r="H249" s="715" t="s">
        <v>1813</v>
      </c>
      <c r="I249" s="715"/>
      <c r="J249" s="715"/>
      <c r="K249" s="576"/>
      <c r="L249" s="715"/>
      <c r="M249" s="715"/>
      <c r="N249" s="715"/>
      <c r="O249" s="715"/>
      <c r="P249" s="715"/>
      <c r="Q249" s="715"/>
      <c r="R249" s="576"/>
      <c r="S249" s="715"/>
      <c r="T249" s="715"/>
      <c r="U249" s="576"/>
      <c r="V249" s="576"/>
      <c r="W249" s="576"/>
      <c r="X249" s="576"/>
      <c r="Y249" s="715"/>
      <c r="Z249" s="576"/>
      <c r="AA249" s="576"/>
      <c r="AB249" s="576"/>
      <c r="AC249" s="577" t="e">
        <f>IF(NFI_Expiration=1,IF(#REF!&lt;VLOOKUP(L$5,NFI,5,0),1,0)*Table_NFI[[#This Row],[NFI Core Kit]],Table_NFI[NFI Core Kit])</f>
        <v>#REF!</v>
      </c>
      <c r="AD249" s="577" t="e">
        <f>IF(NFI_Expiration=1,IF(#REF!&lt;VLOOKUP(M$5,NFI,5,0),1,0)*Table_NFI[[#This Row],[Sanitary Kit]],Table_NFI[Sanitary Kit])</f>
        <v>#REF!</v>
      </c>
      <c r="AE249" s="577" t="e">
        <f>IF(NFI_Expiration=1,IF(#REF!&lt;VLOOKUP(N$5,NFI,5,0),1,0)*Table_NFI[[#This Row],[Mosquito net]],Table_NFI[Mosquito net])</f>
        <v>#REF!</v>
      </c>
      <c r="AF249" s="577" t="e">
        <f>IF(NFI_Expiration=1,IF(#REF!&lt;VLOOKUP(O$5,NFI,5,0),1,0)*Table_NFI[[#This Row],[Tarpaulin]],Table_NFI[[#This Row],[Tarpaulin]])</f>
        <v>#REF!</v>
      </c>
      <c r="AG249" s="577" t="e">
        <f>IF(NFI_Expiration=1,IF(#REF!&lt;VLOOKUP(P$5,NFI,5,0),1,0)*Table_NFI[[#This Row],[Blanket]],Table_NFI[[#This Row],[Blanket]])</f>
        <v>#REF!</v>
      </c>
      <c r="AH249" s="577" t="e">
        <f>IF(NFI_Expiration=1,IF(#REF!&lt;VLOOKUP(Q$5,NFI,5,0),1,0)*Table_NFI[[#This Row],[Kitchen Set]],Table_NFI[Kitchen Set])</f>
        <v>#REF!</v>
      </c>
      <c r="AI249" s="577" t="e">
        <f>IF(NFI_Expiration=1,IF(#REF!&lt;VLOOKUP(R$5,NFI,5,0),1,0)*Table_NFI[[#This Row],[Clothes Kit]],Table_NFI[Clothes Kit])</f>
        <v>#REF!</v>
      </c>
      <c r="AJ249" s="577" t="e">
        <f>IF(NFI_Expiration=1,IF(#REF!&lt;VLOOKUP(S$5,NFI,5,0),1,0)*Table_NFI[[#This Row],[Plastic Bucket]],Table_NFI[Plastic Bucket])</f>
        <v>#REF!</v>
      </c>
      <c r="AK249" s="577" t="e">
        <f>IF(NFI_Expiration=1,IF(#REF!&lt;VLOOKUP(T$5,NFI,5,0),1,0)*Table_NFI[[#This Row],[Plastic Mat]],Table_NFI[Plastic Mat])*IF(Table_NFI[[#This Row],[Distribution Date]]&gt;"2014-04-01",1,2.5)</f>
        <v>#REF!</v>
      </c>
      <c r="AL249" s="577" t="e">
        <f>IF(NFI_Expiration=1,IF(#REF!&lt;VLOOKUP(U$5,NFI,5,0),1,0)*Table_NFI[[#This Row],[Winter Clothes Adult]],Table_NFI[Winter Clothes Adult])</f>
        <v>#REF!</v>
      </c>
      <c r="AM249" s="577"/>
      <c r="AN249" s="577"/>
      <c r="AO249" s="577"/>
      <c r="AP249" s="577">
        <f>IF(Table_NFI[[#This Row],[Winter Clothes Adult]]+Table_NFI[[#This Row],[Winter Clothes Children]]+Table_NFI[[#This Row],[Winter Items Other]]+Table_NFI[[#This Row],[Winter Blanket]]&gt;0,1,0)</f>
        <v>0</v>
      </c>
      <c r="AQ249" s="577"/>
      <c r="AR249" s="577"/>
      <c r="AS249" s="577"/>
      <c r="AT249" s="220" t="str">
        <f>IFERROR(VLOOKUP(Table_NFI[[#This Row],[Location]],CL,2,0),"")</f>
        <v/>
      </c>
      <c r="AU249" s="197"/>
    </row>
    <row r="250" spans="2:47" x14ac:dyDescent="0.25">
      <c r="B250" s="575">
        <v>43228</v>
      </c>
      <c r="C250" s="575" t="str">
        <f>MONTH(Table_NFI[[#This Row],[Distribution Date]]) &amp; "/" &amp; YEAR(Table_NFI[[#This Row],[Distribution Date]])</f>
        <v>5/2018</v>
      </c>
      <c r="D250" s="715" t="s">
        <v>1804</v>
      </c>
      <c r="E250" s="715" t="s">
        <v>424</v>
      </c>
      <c r="F250" s="715" t="s">
        <v>378</v>
      </c>
      <c r="G250" s="715" t="s">
        <v>237</v>
      </c>
      <c r="H250" s="715" t="s">
        <v>1815</v>
      </c>
      <c r="I250" s="715"/>
      <c r="J250" s="715"/>
      <c r="K250" s="576"/>
      <c r="L250" s="715">
        <v>25</v>
      </c>
      <c r="M250" s="715"/>
      <c r="N250" s="715">
        <v>50</v>
      </c>
      <c r="O250" s="715">
        <f>25*2</f>
        <v>50</v>
      </c>
      <c r="P250" s="715">
        <f>25*2</f>
        <v>50</v>
      </c>
      <c r="Q250" s="715">
        <v>25</v>
      </c>
      <c r="R250" s="576"/>
      <c r="S250" s="715">
        <v>25</v>
      </c>
      <c r="T250" s="715"/>
      <c r="U250" s="576"/>
      <c r="V250" s="576"/>
      <c r="W250" s="576"/>
      <c r="X250" s="576"/>
      <c r="Y250" s="715"/>
      <c r="Z250" s="576"/>
      <c r="AA250" s="576"/>
      <c r="AB250" s="576"/>
      <c r="AC250" s="577" t="e">
        <f>IF(NFI_Expiration=1,IF(#REF!&lt;VLOOKUP(L$5,NFI,5,0),1,0)*Table_NFI[[#This Row],[NFI Core Kit]],Table_NFI[NFI Core Kit])</f>
        <v>#REF!</v>
      </c>
      <c r="AD250" s="577" t="e">
        <f>IF(NFI_Expiration=1,IF(#REF!&lt;VLOOKUP(M$5,NFI,5,0),1,0)*Table_NFI[[#This Row],[Sanitary Kit]],Table_NFI[Sanitary Kit])</f>
        <v>#REF!</v>
      </c>
      <c r="AE250" s="577" t="e">
        <f>IF(NFI_Expiration=1,IF(#REF!&lt;VLOOKUP(N$5,NFI,5,0),1,0)*Table_NFI[[#This Row],[Mosquito net]],Table_NFI[Mosquito net])</f>
        <v>#REF!</v>
      </c>
      <c r="AF250" s="577" t="e">
        <f>IF(NFI_Expiration=1,IF(#REF!&lt;VLOOKUP(O$5,NFI,5,0),1,0)*Table_NFI[[#This Row],[Tarpaulin]],Table_NFI[[#This Row],[Tarpaulin]])</f>
        <v>#REF!</v>
      </c>
      <c r="AG250" s="577" t="e">
        <f>IF(NFI_Expiration=1,IF(#REF!&lt;VLOOKUP(P$5,NFI,5,0),1,0)*Table_NFI[[#This Row],[Blanket]],Table_NFI[[#This Row],[Blanket]])</f>
        <v>#REF!</v>
      </c>
      <c r="AH250" s="577" t="e">
        <f>IF(NFI_Expiration=1,IF(#REF!&lt;VLOOKUP(Q$5,NFI,5,0),1,0)*Table_NFI[[#This Row],[Kitchen Set]],Table_NFI[Kitchen Set])</f>
        <v>#REF!</v>
      </c>
      <c r="AI250" s="577" t="e">
        <f>IF(NFI_Expiration=1,IF(#REF!&lt;VLOOKUP(R$5,NFI,5,0),1,0)*Table_NFI[[#This Row],[Clothes Kit]],Table_NFI[Clothes Kit])</f>
        <v>#REF!</v>
      </c>
      <c r="AJ250" s="577" t="e">
        <f>IF(NFI_Expiration=1,IF(#REF!&lt;VLOOKUP(S$5,NFI,5,0),1,0)*Table_NFI[[#This Row],[Plastic Bucket]],Table_NFI[Plastic Bucket])</f>
        <v>#REF!</v>
      </c>
      <c r="AK250" s="577" t="e">
        <f>IF(NFI_Expiration=1,IF(#REF!&lt;VLOOKUP(T$5,NFI,5,0),1,0)*Table_NFI[[#This Row],[Plastic Mat]],Table_NFI[Plastic Mat])*IF(Table_NFI[[#This Row],[Distribution Date]]&gt;"2014-04-01",1,2.5)</f>
        <v>#REF!</v>
      </c>
      <c r="AL250" s="577" t="e">
        <f>IF(NFI_Expiration=1,IF(#REF!&lt;VLOOKUP(U$5,NFI,5,0),1,0)*Table_NFI[[#This Row],[Winter Clothes Adult]],Table_NFI[Winter Clothes Adult])</f>
        <v>#REF!</v>
      </c>
      <c r="AM250" s="577"/>
      <c r="AN250" s="577"/>
      <c r="AO250" s="577"/>
      <c r="AP250" s="577">
        <f>IF(Table_NFI[[#This Row],[Winter Clothes Adult]]+Table_NFI[[#This Row],[Winter Clothes Children]]+Table_NFI[[#This Row],[Winter Items Other]]+Table_NFI[[#This Row],[Winter Blanket]]&gt;0,1,0)</f>
        <v>0</v>
      </c>
      <c r="AQ250" s="577"/>
      <c r="AR250" s="577"/>
      <c r="AS250" s="577"/>
      <c r="AT250" s="220" t="str">
        <f>IFERROR(VLOOKUP(Table_NFI[[#This Row],[Location]],CL,2,0),"")</f>
        <v/>
      </c>
      <c r="AU250" s="197"/>
    </row>
    <row r="251" spans="2:47" x14ac:dyDescent="0.25">
      <c r="B251" s="575">
        <v>43228</v>
      </c>
      <c r="C251" s="575" t="str">
        <f>MONTH(Table_NFI[[#This Row],[Distribution Date]]) &amp; "/" &amp; YEAR(Table_NFI[[#This Row],[Distribution Date]])</f>
        <v>5/2018</v>
      </c>
      <c r="D251" s="715" t="s">
        <v>1804</v>
      </c>
      <c r="E251" s="715" t="s">
        <v>424</v>
      </c>
      <c r="F251" s="715" t="s">
        <v>378</v>
      </c>
      <c r="G251" s="715" t="s">
        <v>480</v>
      </c>
      <c r="H251" s="715" t="s">
        <v>1819</v>
      </c>
      <c r="I251" s="715"/>
      <c r="J251" s="715"/>
      <c r="K251" s="576"/>
      <c r="L251" s="715">
        <v>31</v>
      </c>
      <c r="M251" s="715"/>
      <c r="N251" s="715">
        <v>62</v>
      </c>
      <c r="O251" s="715">
        <f>31*2</f>
        <v>62</v>
      </c>
      <c r="P251" s="715">
        <f>31*2</f>
        <v>62</v>
      </c>
      <c r="Q251" s="715">
        <v>31</v>
      </c>
      <c r="R251" s="576"/>
      <c r="S251" s="715">
        <v>31</v>
      </c>
      <c r="T251" s="715"/>
      <c r="U251" s="576"/>
      <c r="V251" s="576"/>
      <c r="W251" s="576"/>
      <c r="X251" s="576"/>
      <c r="Y251" s="715"/>
      <c r="Z251" s="576"/>
      <c r="AA251" s="576"/>
      <c r="AB251" s="576"/>
      <c r="AC251" s="577" t="e">
        <f>IF(NFI_Expiration=1,IF(#REF!&lt;VLOOKUP(L$5,NFI,5,0),1,0)*Table_NFI[[#This Row],[NFI Core Kit]],Table_NFI[NFI Core Kit])</f>
        <v>#REF!</v>
      </c>
      <c r="AD251" s="577" t="e">
        <f>IF(NFI_Expiration=1,IF(#REF!&lt;VLOOKUP(M$5,NFI,5,0),1,0)*Table_NFI[[#This Row],[Sanitary Kit]],Table_NFI[Sanitary Kit])</f>
        <v>#REF!</v>
      </c>
      <c r="AE251" s="577" t="e">
        <f>IF(NFI_Expiration=1,IF(#REF!&lt;VLOOKUP(N$5,NFI,5,0),1,0)*Table_NFI[[#This Row],[Mosquito net]],Table_NFI[Mosquito net])</f>
        <v>#REF!</v>
      </c>
      <c r="AF251" s="577" t="e">
        <f>IF(NFI_Expiration=1,IF(#REF!&lt;VLOOKUP(O$5,NFI,5,0),1,0)*Table_NFI[[#This Row],[Tarpaulin]],Table_NFI[[#This Row],[Tarpaulin]])</f>
        <v>#REF!</v>
      </c>
      <c r="AG251" s="577" t="e">
        <f>IF(NFI_Expiration=1,IF(#REF!&lt;VLOOKUP(P$5,NFI,5,0),1,0)*Table_NFI[[#This Row],[Blanket]],Table_NFI[[#This Row],[Blanket]])</f>
        <v>#REF!</v>
      </c>
      <c r="AH251" s="577" t="e">
        <f>IF(NFI_Expiration=1,IF(#REF!&lt;VLOOKUP(Q$5,NFI,5,0),1,0)*Table_NFI[[#This Row],[Kitchen Set]],Table_NFI[Kitchen Set])</f>
        <v>#REF!</v>
      </c>
      <c r="AI251" s="577" t="e">
        <f>IF(NFI_Expiration=1,IF(#REF!&lt;VLOOKUP(R$5,NFI,5,0),1,0)*Table_NFI[[#This Row],[Clothes Kit]],Table_NFI[Clothes Kit])</f>
        <v>#REF!</v>
      </c>
      <c r="AJ251" s="577" t="e">
        <f>IF(NFI_Expiration=1,IF(#REF!&lt;VLOOKUP(S$5,NFI,5,0),1,0)*Table_NFI[[#This Row],[Plastic Bucket]],Table_NFI[Plastic Bucket])</f>
        <v>#REF!</v>
      </c>
      <c r="AK251" s="577" t="e">
        <f>IF(NFI_Expiration=1,IF(#REF!&lt;VLOOKUP(T$5,NFI,5,0),1,0)*Table_NFI[[#This Row],[Plastic Mat]],Table_NFI[Plastic Mat])*IF(Table_NFI[[#This Row],[Distribution Date]]&gt;"2014-04-01",1,2.5)</f>
        <v>#REF!</v>
      </c>
      <c r="AL251" s="577" t="e">
        <f>IF(NFI_Expiration=1,IF(#REF!&lt;VLOOKUP(U$5,NFI,5,0),1,0)*Table_NFI[[#This Row],[Winter Clothes Adult]],Table_NFI[Winter Clothes Adult])</f>
        <v>#REF!</v>
      </c>
      <c r="AM251" s="577"/>
      <c r="AN251" s="577"/>
      <c r="AO251" s="577"/>
      <c r="AP251" s="577">
        <f>IF(Table_NFI[[#This Row],[Winter Clothes Adult]]+Table_NFI[[#This Row],[Winter Clothes Children]]+Table_NFI[[#This Row],[Winter Items Other]]+Table_NFI[[#This Row],[Winter Blanket]]&gt;0,1,0)</f>
        <v>0</v>
      </c>
      <c r="AQ251" s="577"/>
      <c r="AR251" s="577"/>
      <c r="AS251" s="577"/>
      <c r="AT251" s="220" t="str">
        <f>IFERROR(VLOOKUP(Table_NFI[[#This Row],[Location]],CL,2,0),"")</f>
        <v/>
      </c>
      <c r="AU251" s="197"/>
    </row>
    <row r="252" spans="2:47" x14ac:dyDescent="0.25">
      <c r="B252" s="575">
        <v>43228</v>
      </c>
      <c r="C252" s="575" t="str">
        <f>MONTH(Table_NFI[[#This Row],[Distribution Date]]) &amp; "/" &amp; YEAR(Table_NFI[[#This Row],[Distribution Date]])</f>
        <v>5/2018</v>
      </c>
      <c r="D252" s="715" t="s">
        <v>1804</v>
      </c>
      <c r="E252" s="715" t="s">
        <v>424</v>
      </c>
      <c r="F252" s="715" t="s">
        <v>378</v>
      </c>
      <c r="G252" s="715" t="s">
        <v>309</v>
      </c>
      <c r="H252" s="715" t="s">
        <v>1817</v>
      </c>
      <c r="I252" s="715"/>
      <c r="J252" s="715"/>
      <c r="K252" s="576"/>
      <c r="L252" s="715">
        <v>41</v>
      </c>
      <c r="M252" s="715"/>
      <c r="N252" s="715">
        <v>82</v>
      </c>
      <c r="O252" s="715">
        <f>41*2</f>
        <v>82</v>
      </c>
      <c r="P252" s="715">
        <f>41*2</f>
        <v>82</v>
      </c>
      <c r="Q252" s="715">
        <v>41</v>
      </c>
      <c r="R252" s="576"/>
      <c r="S252" s="715">
        <v>41</v>
      </c>
      <c r="T252" s="715"/>
      <c r="U252" s="576"/>
      <c r="V252" s="576"/>
      <c r="W252" s="576"/>
      <c r="X252" s="576"/>
      <c r="Y252" s="715"/>
      <c r="Z252" s="576"/>
      <c r="AA252" s="576"/>
      <c r="AB252" s="576"/>
      <c r="AC252" s="577" t="e">
        <f>IF(NFI_Expiration=1,IF(#REF!&lt;VLOOKUP(L$5,NFI,5,0),1,0)*Table_NFI[[#This Row],[NFI Core Kit]],Table_NFI[NFI Core Kit])</f>
        <v>#REF!</v>
      </c>
      <c r="AD252" s="577" t="e">
        <f>IF(NFI_Expiration=1,IF(#REF!&lt;VLOOKUP(M$5,NFI,5,0),1,0)*Table_NFI[[#This Row],[Sanitary Kit]],Table_NFI[Sanitary Kit])</f>
        <v>#REF!</v>
      </c>
      <c r="AE252" s="577" t="e">
        <f>IF(NFI_Expiration=1,IF(#REF!&lt;VLOOKUP(N$5,NFI,5,0),1,0)*Table_NFI[[#This Row],[Mosquito net]],Table_NFI[Mosquito net])</f>
        <v>#REF!</v>
      </c>
      <c r="AF252" s="577" t="e">
        <f>IF(NFI_Expiration=1,IF(#REF!&lt;VLOOKUP(O$5,NFI,5,0),1,0)*Table_NFI[[#This Row],[Tarpaulin]],Table_NFI[[#This Row],[Tarpaulin]])</f>
        <v>#REF!</v>
      </c>
      <c r="AG252" s="577" t="e">
        <f>IF(NFI_Expiration=1,IF(#REF!&lt;VLOOKUP(P$5,NFI,5,0),1,0)*Table_NFI[[#This Row],[Blanket]],Table_NFI[[#This Row],[Blanket]])</f>
        <v>#REF!</v>
      </c>
      <c r="AH252" s="577" t="e">
        <f>IF(NFI_Expiration=1,IF(#REF!&lt;VLOOKUP(Q$5,NFI,5,0),1,0)*Table_NFI[[#This Row],[Kitchen Set]],Table_NFI[Kitchen Set])</f>
        <v>#REF!</v>
      </c>
      <c r="AI252" s="577" t="e">
        <f>IF(NFI_Expiration=1,IF(#REF!&lt;VLOOKUP(R$5,NFI,5,0),1,0)*Table_NFI[[#This Row],[Clothes Kit]],Table_NFI[Clothes Kit])</f>
        <v>#REF!</v>
      </c>
      <c r="AJ252" s="577" t="e">
        <f>IF(NFI_Expiration=1,IF(#REF!&lt;VLOOKUP(S$5,NFI,5,0),1,0)*Table_NFI[[#This Row],[Plastic Bucket]],Table_NFI[Plastic Bucket])</f>
        <v>#REF!</v>
      </c>
      <c r="AK252" s="577" t="e">
        <f>IF(NFI_Expiration=1,IF(#REF!&lt;VLOOKUP(T$5,NFI,5,0),1,0)*Table_NFI[[#This Row],[Plastic Mat]],Table_NFI[Plastic Mat])*IF(Table_NFI[[#This Row],[Distribution Date]]&gt;"2014-04-01",1,2.5)</f>
        <v>#REF!</v>
      </c>
      <c r="AL252" s="577" t="e">
        <f>IF(NFI_Expiration=1,IF(#REF!&lt;VLOOKUP(U$5,NFI,5,0),1,0)*Table_NFI[[#This Row],[Winter Clothes Adult]],Table_NFI[Winter Clothes Adult])</f>
        <v>#REF!</v>
      </c>
      <c r="AM252" s="577"/>
      <c r="AN252" s="577"/>
      <c r="AO252" s="577"/>
      <c r="AP252" s="577">
        <f>IF(Table_NFI[[#This Row],[Winter Clothes Adult]]+Table_NFI[[#This Row],[Winter Clothes Children]]+Table_NFI[[#This Row],[Winter Items Other]]+Table_NFI[[#This Row],[Winter Blanket]]&gt;0,1,0)</f>
        <v>0</v>
      </c>
      <c r="AQ252" s="577"/>
      <c r="AR252" s="577"/>
      <c r="AS252" s="577"/>
      <c r="AT252" s="220" t="str">
        <f>IFERROR(VLOOKUP(Table_NFI[[#This Row],[Location]],CL,2,0),"")</f>
        <v/>
      </c>
      <c r="AU252" s="197"/>
    </row>
    <row r="253" spans="2:47" x14ac:dyDescent="0.25">
      <c r="B253" s="575">
        <v>43228</v>
      </c>
      <c r="C253" s="575" t="str">
        <f>MONTH(Table_NFI[[#This Row],[Distribution Date]]) &amp; "/" &amp; YEAR(Table_NFI[[#This Row],[Distribution Date]])</f>
        <v>5/2018</v>
      </c>
      <c r="D253" s="715" t="s">
        <v>1804</v>
      </c>
      <c r="E253" s="715" t="s">
        <v>424</v>
      </c>
      <c r="F253" s="715" t="s">
        <v>378</v>
      </c>
      <c r="G253" s="715" t="s">
        <v>309</v>
      </c>
      <c r="H253" s="715" t="s">
        <v>1816</v>
      </c>
      <c r="I253" s="715"/>
      <c r="J253" s="715"/>
      <c r="K253" s="576"/>
      <c r="L253" s="715">
        <v>16</v>
      </c>
      <c r="M253" s="715"/>
      <c r="N253" s="715">
        <v>32</v>
      </c>
      <c r="O253" s="715">
        <f>16*2</f>
        <v>32</v>
      </c>
      <c r="P253" s="715">
        <f>16*2</f>
        <v>32</v>
      </c>
      <c r="Q253" s="715">
        <v>16</v>
      </c>
      <c r="R253" s="576"/>
      <c r="S253" s="715">
        <v>16</v>
      </c>
      <c r="T253" s="715"/>
      <c r="U253" s="576"/>
      <c r="V253" s="576"/>
      <c r="W253" s="576"/>
      <c r="X253" s="576"/>
      <c r="Y253" s="715"/>
      <c r="Z253" s="576"/>
      <c r="AA253" s="576"/>
      <c r="AB253" s="576"/>
      <c r="AC253" s="577" t="e">
        <f>IF(NFI_Expiration=1,IF(#REF!&lt;VLOOKUP(L$5,NFI,5,0),1,0)*Table_NFI[[#This Row],[NFI Core Kit]],Table_NFI[NFI Core Kit])</f>
        <v>#REF!</v>
      </c>
      <c r="AD253" s="577" t="e">
        <f>IF(NFI_Expiration=1,IF(#REF!&lt;VLOOKUP(M$5,NFI,5,0),1,0)*Table_NFI[[#This Row],[Sanitary Kit]],Table_NFI[Sanitary Kit])</f>
        <v>#REF!</v>
      </c>
      <c r="AE253" s="577" t="e">
        <f>IF(NFI_Expiration=1,IF(#REF!&lt;VLOOKUP(N$5,NFI,5,0),1,0)*Table_NFI[[#This Row],[Mosquito net]],Table_NFI[Mosquito net])</f>
        <v>#REF!</v>
      </c>
      <c r="AF253" s="577" t="e">
        <f>IF(NFI_Expiration=1,IF(#REF!&lt;VLOOKUP(O$5,NFI,5,0),1,0)*Table_NFI[[#This Row],[Tarpaulin]],Table_NFI[[#This Row],[Tarpaulin]])</f>
        <v>#REF!</v>
      </c>
      <c r="AG253" s="577" t="e">
        <f>IF(NFI_Expiration=1,IF(#REF!&lt;VLOOKUP(P$5,NFI,5,0),1,0)*Table_NFI[[#This Row],[Blanket]],Table_NFI[[#This Row],[Blanket]])</f>
        <v>#REF!</v>
      </c>
      <c r="AH253" s="577" t="e">
        <f>IF(NFI_Expiration=1,IF(#REF!&lt;VLOOKUP(Q$5,NFI,5,0),1,0)*Table_NFI[[#This Row],[Kitchen Set]],Table_NFI[Kitchen Set])</f>
        <v>#REF!</v>
      </c>
      <c r="AI253" s="577" t="e">
        <f>IF(NFI_Expiration=1,IF(#REF!&lt;VLOOKUP(R$5,NFI,5,0),1,0)*Table_NFI[[#This Row],[Clothes Kit]],Table_NFI[Clothes Kit])</f>
        <v>#REF!</v>
      </c>
      <c r="AJ253" s="577" t="e">
        <f>IF(NFI_Expiration=1,IF(#REF!&lt;VLOOKUP(S$5,NFI,5,0),1,0)*Table_NFI[[#This Row],[Plastic Bucket]],Table_NFI[Plastic Bucket])</f>
        <v>#REF!</v>
      </c>
      <c r="AK253" s="577" t="e">
        <f>IF(NFI_Expiration=1,IF(#REF!&lt;VLOOKUP(T$5,NFI,5,0),1,0)*Table_NFI[[#This Row],[Plastic Mat]],Table_NFI[Plastic Mat])*IF(Table_NFI[[#This Row],[Distribution Date]]&gt;"2014-04-01",1,2.5)</f>
        <v>#REF!</v>
      </c>
      <c r="AL253" s="577" t="e">
        <f>IF(NFI_Expiration=1,IF(#REF!&lt;VLOOKUP(U$5,NFI,5,0),1,0)*Table_NFI[[#This Row],[Winter Clothes Adult]],Table_NFI[Winter Clothes Adult])</f>
        <v>#REF!</v>
      </c>
      <c r="AM253" s="577"/>
      <c r="AN253" s="577"/>
      <c r="AO253" s="577"/>
      <c r="AP253" s="577">
        <f>IF(Table_NFI[[#This Row],[Winter Clothes Adult]]+Table_NFI[[#This Row],[Winter Clothes Children]]+Table_NFI[[#This Row],[Winter Items Other]]+Table_NFI[[#This Row],[Winter Blanket]]&gt;0,1,0)</f>
        <v>0</v>
      </c>
      <c r="AQ253" s="577"/>
      <c r="AR253" s="577"/>
      <c r="AS253" s="577"/>
      <c r="AT253" s="220" t="str">
        <f>IFERROR(VLOOKUP(Table_NFI[[#This Row],[Location]],CL,2,0),"")</f>
        <v/>
      </c>
      <c r="AU253" s="197"/>
    </row>
    <row r="254" spans="2:47" x14ac:dyDescent="0.25">
      <c r="B254" s="575">
        <v>43228</v>
      </c>
      <c r="C254" s="575" t="str">
        <f>MONTH(Table_NFI[[#This Row],[Distribution Date]]) &amp; "/" &amp; YEAR(Table_NFI[[#This Row],[Distribution Date]])</f>
        <v>5/2018</v>
      </c>
      <c r="D254" s="715" t="s">
        <v>1803</v>
      </c>
      <c r="E254" s="715" t="s">
        <v>424</v>
      </c>
      <c r="F254" s="715" t="s">
        <v>378</v>
      </c>
      <c r="G254" s="715" t="s">
        <v>1805</v>
      </c>
      <c r="H254" s="715" t="s">
        <v>1810</v>
      </c>
      <c r="I254" s="715"/>
      <c r="J254" s="715"/>
      <c r="K254" s="576"/>
      <c r="L254" s="715"/>
      <c r="M254" s="715"/>
      <c r="N254" s="715">
        <v>213</v>
      </c>
      <c r="O254" s="715"/>
      <c r="P254" s="715">
        <v>213</v>
      </c>
      <c r="Q254" s="715"/>
      <c r="R254" s="576"/>
      <c r="S254" s="715">
        <v>99</v>
      </c>
      <c r="T254" s="715"/>
      <c r="U254" s="576"/>
      <c r="V254" s="576"/>
      <c r="W254" s="576"/>
      <c r="X254" s="576"/>
      <c r="Y254" s="715"/>
      <c r="Z254" s="576"/>
      <c r="AA254" s="576"/>
      <c r="AB254" s="576"/>
      <c r="AC254" s="577" t="e">
        <f>IF(NFI_Expiration=1,IF(#REF!&lt;VLOOKUP(L$5,NFI,5,0),1,0)*Table_NFI[[#This Row],[NFI Core Kit]],Table_NFI[NFI Core Kit])</f>
        <v>#REF!</v>
      </c>
      <c r="AD254" s="577" t="e">
        <f>IF(NFI_Expiration=1,IF(#REF!&lt;VLOOKUP(M$5,NFI,5,0),1,0)*Table_NFI[[#This Row],[Sanitary Kit]],Table_NFI[Sanitary Kit])</f>
        <v>#REF!</v>
      </c>
      <c r="AE254" s="577" t="e">
        <f>IF(NFI_Expiration=1,IF(#REF!&lt;VLOOKUP(N$5,NFI,5,0),1,0)*Table_NFI[[#This Row],[Mosquito net]],Table_NFI[Mosquito net])</f>
        <v>#REF!</v>
      </c>
      <c r="AF254" s="577" t="e">
        <f>IF(NFI_Expiration=1,IF(#REF!&lt;VLOOKUP(O$5,NFI,5,0),1,0)*Table_NFI[[#This Row],[Tarpaulin]],Table_NFI[[#This Row],[Tarpaulin]])</f>
        <v>#REF!</v>
      </c>
      <c r="AG254" s="577" t="e">
        <f>IF(NFI_Expiration=1,IF(#REF!&lt;VLOOKUP(P$5,NFI,5,0),1,0)*Table_NFI[[#This Row],[Blanket]],Table_NFI[[#This Row],[Blanket]])</f>
        <v>#REF!</v>
      </c>
      <c r="AH254" s="577" t="e">
        <f>IF(NFI_Expiration=1,IF(#REF!&lt;VLOOKUP(Q$5,NFI,5,0),1,0)*Table_NFI[[#This Row],[Kitchen Set]],Table_NFI[Kitchen Set])</f>
        <v>#REF!</v>
      </c>
      <c r="AI254" s="577" t="e">
        <f>IF(NFI_Expiration=1,IF(#REF!&lt;VLOOKUP(R$5,NFI,5,0),1,0)*Table_NFI[[#This Row],[Clothes Kit]],Table_NFI[Clothes Kit])</f>
        <v>#REF!</v>
      </c>
      <c r="AJ254" s="577" t="e">
        <f>IF(NFI_Expiration=1,IF(#REF!&lt;VLOOKUP(S$5,NFI,5,0),1,0)*Table_NFI[[#This Row],[Plastic Bucket]],Table_NFI[Plastic Bucket])</f>
        <v>#REF!</v>
      </c>
      <c r="AK254" s="577" t="e">
        <f>IF(NFI_Expiration=1,IF(#REF!&lt;VLOOKUP(T$5,NFI,5,0),1,0)*Table_NFI[[#This Row],[Plastic Mat]],Table_NFI[Plastic Mat])*IF(Table_NFI[[#This Row],[Distribution Date]]&gt;"2014-04-01",1,2.5)</f>
        <v>#REF!</v>
      </c>
      <c r="AL254" s="577" t="e">
        <f>IF(NFI_Expiration=1,IF(#REF!&lt;VLOOKUP(U$5,NFI,5,0),1,0)*Table_NFI[[#This Row],[Winter Clothes Adult]],Table_NFI[Winter Clothes Adult])</f>
        <v>#REF!</v>
      </c>
      <c r="AM254" s="577"/>
      <c r="AN254" s="577"/>
      <c r="AO254" s="577"/>
      <c r="AP254" s="577">
        <f>IF(Table_NFI[[#This Row],[Winter Clothes Adult]]+Table_NFI[[#This Row],[Winter Clothes Children]]+Table_NFI[[#This Row],[Winter Items Other]]+Table_NFI[[#This Row],[Winter Blanket]]&gt;0,1,0)</f>
        <v>0</v>
      </c>
      <c r="AQ254" s="577"/>
      <c r="AR254" s="577"/>
      <c r="AS254" s="577"/>
      <c r="AT254" s="220" t="str">
        <f>IFERROR(VLOOKUP(Table_NFI[[#This Row],[Location]],CL,2,0),"")</f>
        <v/>
      </c>
      <c r="AU254" s="197"/>
    </row>
    <row r="255" spans="2:47" x14ac:dyDescent="0.25">
      <c r="B255" s="575">
        <v>43228</v>
      </c>
      <c r="C255" s="575" t="str">
        <f>MONTH(Table_NFI[[#This Row],[Distribution Date]]) &amp; "/" &amp; YEAR(Table_NFI[[#This Row],[Distribution Date]])</f>
        <v>5/2018</v>
      </c>
      <c r="D255" s="715" t="s">
        <v>1803</v>
      </c>
      <c r="E255" s="715" t="s">
        <v>424</v>
      </c>
      <c r="F255" s="715" t="s">
        <v>378</v>
      </c>
      <c r="G255" s="715" t="s">
        <v>1805</v>
      </c>
      <c r="H255" s="715" t="s">
        <v>1812</v>
      </c>
      <c r="I255" s="715"/>
      <c r="J255" s="715"/>
      <c r="K255" s="576"/>
      <c r="L255" s="715"/>
      <c r="M255" s="715"/>
      <c r="N255" s="715">
        <v>44</v>
      </c>
      <c r="O255" s="715"/>
      <c r="P255" s="715">
        <v>34</v>
      </c>
      <c r="Q255" s="715"/>
      <c r="R255" s="576"/>
      <c r="S255" s="715">
        <v>31</v>
      </c>
      <c r="T255" s="715"/>
      <c r="U255" s="576"/>
      <c r="V255" s="576"/>
      <c r="W255" s="576"/>
      <c r="X255" s="576"/>
      <c r="Y255" s="715"/>
      <c r="Z255" s="576"/>
      <c r="AA255" s="576"/>
      <c r="AB255" s="576"/>
      <c r="AC255" s="577" t="e">
        <f>IF(NFI_Expiration=1,IF(#REF!&lt;VLOOKUP(L$5,NFI,5,0),1,0)*Table_NFI[[#This Row],[NFI Core Kit]],Table_NFI[NFI Core Kit])</f>
        <v>#REF!</v>
      </c>
      <c r="AD255" s="577" t="e">
        <f>IF(NFI_Expiration=1,IF(#REF!&lt;VLOOKUP(M$5,NFI,5,0),1,0)*Table_NFI[[#This Row],[Sanitary Kit]],Table_NFI[Sanitary Kit])</f>
        <v>#REF!</v>
      </c>
      <c r="AE255" s="577" t="e">
        <f>IF(NFI_Expiration=1,IF(#REF!&lt;VLOOKUP(N$5,NFI,5,0),1,0)*Table_NFI[[#This Row],[Mosquito net]],Table_NFI[Mosquito net])</f>
        <v>#REF!</v>
      </c>
      <c r="AF255" s="577" t="e">
        <f>IF(NFI_Expiration=1,IF(#REF!&lt;VLOOKUP(O$5,NFI,5,0),1,0)*Table_NFI[[#This Row],[Tarpaulin]],Table_NFI[[#This Row],[Tarpaulin]])</f>
        <v>#REF!</v>
      </c>
      <c r="AG255" s="577" t="e">
        <f>IF(NFI_Expiration=1,IF(#REF!&lt;VLOOKUP(P$5,NFI,5,0),1,0)*Table_NFI[[#This Row],[Blanket]],Table_NFI[[#This Row],[Blanket]])</f>
        <v>#REF!</v>
      </c>
      <c r="AH255" s="577" t="e">
        <f>IF(NFI_Expiration=1,IF(#REF!&lt;VLOOKUP(Q$5,NFI,5,0),1,0)*Table_NFI[[#This Row],[Kitchen Set]],Table_NFI[Kitchen Set])</f>
        <v>#REF!</v>
      </c>
      <c r="AI255" s="577" t="e">
        <f>IF(NFI_Expiration=1,IF(#REF!&lt;VLOOKUP(R$5,NFI,5,0),1,0)*Table_NFI[[#This Row],[Clothes Kit]],Table_NFI[Clothes Kit])</f>
        <v>#REF!</v>
      </c>
      <c r="AJ255" s="577" t="e">
        <f>IF(NFI_Expiration=1,IF(#REF!&lt;VLOOKUP(S$5,NFI,5,0),1,0)*Table_NFI[[#This Row],[Plastic Bucket]],Table_NFI[Plastic Bucket])</f>
        <v>#REF!</v>
      </c>
      <c r="AK255" s="577" t="e">
        <f>IF(NFI_Expiration=1,IF(#REF!&lt;VLOOKUP(T$5,NFI,5,0),1,0)*Table_NFI[[#This Row],[Plastic Mat]],Table_NFI[Plastic Mat])*IF(Table_NFI[[#This Row],[Distribution Date]]&gt;"2014-04-01",1,2.5)</f>
        <v>#REF!</v>
      </c>
      <c r="AL255" s="577" t="e">
        <f>IF(NFI_Expiration=1,IF(#REF!&lt;VLOOKUP(U$5,NFI,5,0),1,0)*Table_NFI[[#This Row],[Winter Clothes Adult]],Table_NFI[Winter Clothes Adult])</f>
        <v>#REF!</v>
      </c>
      <c r="AM255" s="577"/>
      <c r="AN255" s="577"/>
      <c r="AO255" s="577"/>
      <c r="AP255" s="577">
        <f>IF(Table_NFI[[#This Row],[Winter Clothes Adult]]+Table_NFI[[#This Row],[Winter Clothes Children]]+Table_NFI[[#This Row],[Winter Items Other]]+Table_NFI[[#This Row],[Winter Blanket]]&gt;0,1,0)</f>
        <v>0</v>
      </c>
      <c r="AQ255" s="577"/>
      <c r="AR255" s="577"/>
      <c r="AS255" s="577"/>
      <c r="AT255" s="220" t="str">
        <f>IFERROR(VLOOKUP(Table_NFI[[#This Row],[Location]],CL,2,0),"")</f>
        <v/>
      </c>
      <c r="AU255" s="197"/>
    </row>
    <row r="256" spans="2:47" x14ac:dyDescent="0.25">
      <c r="B256" s="575">
        <v>43228</v>
      </c>
      <c r="C256" s="575" t="str">
        <f>MONTH(Table_NFI[[#This Row],[Distribution Date]]) &amp; "/" &amp; YEAR(Table_NFI[[#This Row],[Distribution Date]])</f>
        <v>5/2018</v>
      </c>
      <c r="D256" s="715" t="s">
        <v>1803</v>
      </c>
      <c r="E256" s="715" t="s">
        <v>424</v>
      </c>
      <c r="F256" s="715" t="s">
        <v>378</v>
      </c>
      <c r="G256" s="715" t="s">
        <v>1805</v>
      </c>
      <c r="H256" s="715" t="s">
        <v>1811</v>
      </c>
      <c r="I256" s="715"/>
      <c r="J256" s="715"/>
      <c r="K256" s="576"/>
      <c r="L256" s="715"/>
      <c r="M256" s="715"/>
      <c r="N256" s="715">
        <v>167</v>
      </c>
      <c r="O256" s="715"/>
      <c r="P256" s="715"/>
      <c r="Q256" s="715"/>
      <c r="R256" s="576"/>
      <c r="S256" s="715">
        <v>72</v>
      </c>
      <c r="T256" s="715"/>
      <c r="U256" s="576"/>
      <c r="V256" s="576"/>
      <c r="W256" s="576"/>
      <c r="X256" s="576"/>
      <c r="Y256" s="715"/>
      <c r="Z256" s="576"/>
      <c r="AA256" s="576"/>
      <c r="AB256" s="576"/>
      <c r="AC256" s="577" t="e">
        <f>IF(NFI_Expiration=1,IF(#REF!&lt;VLOOKUP(L$5,NFI,5,0),1,0)*Table_NFI[[#This Row],[NFI Core Kit]],Table_NFI[NFI Core Kit])</f>
        <v>#REF!</v>
      </c>
      <c r="AD256" s="577" t="e">
        <f>IF(NFI_Expiration=1,IF(#REF!&lt;VLOOKUP(M$5,NFI,5,0),1,0)*Table_NFI[[#This Row],[Sanitary Kit]],Table_NFI[Sanitary Kit])</f>
        <v>#REF!</v>
      </c>
      <c r="AE256" s="577" t="e">
        <f>IF(NFI_Expiration=1,IF(#REF!&lt;VLOOKUP(N$5,NFI,5,0),1,0)*Table_NFI[[#This Row],[Mosquito net]],Table_NFI[Mosquito net])</f>
        <v>#REF!</v>
      </c>
      <c r="AF256" s="577" t="e">
        <f>IF(NFI_Expiration=1,IF(#REF!&lt;VLOOKUP(O$5,NFI,5,0),1,0)*Table_NFI[[#This Row],[Tarpaulin]],Table_NFI[[#This Row],[Tarpaulin]])</f>
        <v>#REF!</v>
      </c>
      <c r="AG256" s="577" t="e">
        <f>IF(NFI_Expiration=1,IF(#REF!&lt;VLOOKUP(P$5,NFI,5,0),1,0)*Table_NFI[[#This Row],[Blanket]],Table_NFI[[#This Row],[Blanket]])</f>
        <v>#REF!</v>
      </c>
      <c r="AH256" s="577" t="e">
        <f>IF(NFI_Expiration=1,IF(#REF!&lt;VLOOKUP(Q$5,NFI,5,0),1,0)*Table_NFI[[#This Row],[Kitchen Set]],Table_NFI[Kitchen Set])</f>
        <v>#REF!</v>
      </c>
      <c r="AI256" s="577" t="e">
        <f>IF(NFI_Expiration=1,IF(#REF!&lt;VLOOKUP(R$5,NFI,5,0),1,0)*Table_NFI[[#This Row],[Clothes Kit]],Table_NFI[Clothes Kit])</f>
        <v>#REF!</v>
      </c>
      <c r="AJ256" s="577" t="e">
        <f>IF(NFI_Expiration=1,IF(#REF!&lt;VLOOKUP(S$5,NFI,5,0),1,0)*Table_NFI[[#This Row],[Plastic Bucket]],Table_NFI[Plastic Bucket])</f>
        <v>#REF!</v>
      </c>
      <c r="AK256" s="577" t="e">
        <f>IF(NFI_Expiration=1,IF(#REF!&lt;VLOOKUP(T$5,NFI,5,0),1,0)*Table_NFI[[#This Row],[Plastic Mat]],Table_NFI[Plastic Mat])*IF(Table_NFI[[#This Row],[Distribution Date]]&gt;"2014-04-01",1,2.5)</f>
        <v>#REF!</v>
      </c>
      <c r="AL256" s="577" t="e">
        <f>IF(NFI_Expiration=1,IF(#REF!&lt;VLOOKUP(U$5,NFI,5,0),1,0)*Table_NFI[[#This Row],[Winter Clothes Adult]],Table_NFI[Winter Clothes Adult])</f>
        <v>#REF!</v>
      </c>
      <c r="AM256" s="577"/>
      <c r="AN256" s="577"/>
      <c r="AO256" s="577"/>
      <c r="AP256" s="577">
        <f>IF(Table_NFI[[#This Row],[Winter Clothes Adult]]+Table_NFI[[#This Row],[Winter Clothes Children]]+Table_NFI[[#This Row],[Winter Items Other]]+Table_NFI[[#This Row],[Winter Blanket]]&gt;0,1,0)</f>
        <v>0</v>
      </c>
      <c r="AQ256" s="577"/>
      <c r="AR256" s="577"/>
      <c r="AS256" s="577"/>
      <c r="AT256" s="220" t="str">
        <f>IFERROR(VLOOKUP(Table_NFI[[#This Row],[Location]],CL,2,0),"")</f>
        <v/>
      </c>
      <c r="AU256" s="197"/>
    </row>
    <row r="257" spans="2:47" x14ac:dyDescent="0.25">
      <c r="B257" s="575">
        <v>43228</v>
      </c>
      <c r="C257" s="575" t="str">
        <f>MONTH(Table_NFI[[#This Row],[Distribution Date]]) &amp; "/" &amp; YEAR(Table_NFI[[#This Row],[Distribution Date]])</f>
        <v>5/2018</v>
      </c>
      <c r="D257" s="715" t="s">
        <v>1803</v>
      </c>
      <c r="E257" s="715" t="s">
        <v>424</v>
      </c>
      <c r="F257" s="715" t="s">
        <v>378</v>
      </c>
      <c r="G257" s="715" t="s">
        <v>1805</v>
      </c>
      <c r="H257" s="715" t="s">
        <v>1813</v>
      </c>
      <c r="I257" s="715"/>
      <c r="J257" s="715"/>
      <c r="K257" s="576"/>
      <c r="L257" s="715"/>
      <c r="M257" s="715"/>
      <c r="N257" s="715">
        <v>70</v>
      </c>
      <c r="O257" s="715"/>
      <c r="P257" s="715"/>
      <c r="Q257" s="715"/>
      <c r="R257" s="576"/>
      <c r="S257" s="715">
        <v>45</v>
      </c>
      <c r="T257" s="715"/>
      <c r="U257" s="576"/>
      <c r="V257" s="576"/>
      <c r="W257" s="576"/>
      <c r="X257" s="576"/>
      <c r="Y257" s="715"/>
      <c r="Z257" s="576"/>
      <c r="AA257" s="576"/>
      <c r="AB257" s="576"/>
      <c r="AC257" s="577" t="e">
        <f>IF(NFI_Expiration=1,IF(#REF!&lt;VLOOKUP(L$5,NFI,5,0),1,0)*Table_NFI[[#This Row],[NFI Core Kit]],Table_NFI[NFI Core Kit])</f>
        <v>#REF!</v>
      </c>
      <c r="AD257" s="577" t="e">
        <f>IF(NFI_Expiration=1,IF(#REF!&lt;VLOOKUP(M$5,NFI,5,0),1,0)*Table_NFI[[#This Row],[Sanitary Kit]],Table_NFI[Sanitary Kit])</f>
        <v>#REF!</v>
      </c>
      <c r="AE257" s="577" t="e">
        <f>IF(NFI_Expiration=1,IF(#REF!&lt;VLOOKUP(N$5,NFI,5,0),1,0)*Table_NFI[[#This Row],[Mosquito net]],Table_NFI[Mosquito net])</f>
        <v>#REF!</v>
      </c>
      <c r="AF257" s="577" t="e">
        <f>IF(NFI_Expiration=1,IF(#REF!&lt;VLOOKUP(O$5,NFI,5,0),1,0)*Table_NFI[[#This Row],[Tarpaulin]],Table_NFI[[#This Row],[Tarpaulin]])</f>
        <v>#REF!</v>
      </c>
      <c r="AG257" s="577" t="e">
        <f>IF(NFI_Expiration=1,IF(#REF!&lt;VLOOKUP(P$5,NFI,5,0),1,0)*Table_NFI[[#This Row],[Blanket]],Table_NFI[[#This Row],[Blanket]])</f>
        <v>#REF!</v>
      </c>
      <c r="AH257" s="577" t="e">
        <f>IF(NFI_Expiration=1,IF(#REF!&lt;VLOOKUP(Q$5,NFI,5,0),1,0)*Table_NFI[[#This Row],[Kitchen Set]],Table_NFI[Kitchen Set])</f>
        <v>#REF!</v>
      </c>
      <c r="AI257" s="577" t="e">
        <f>IF(NFI_Expiration=1,IF(#REF!&lt;VLOOKUP(R$5,NFI,5,0),1,0)*Table_NFI[[#This Row],[Clothes Kit]],Table_NFI[Clothes Kit])</f>
        <v>#REF!</v>
      </c>
      <c r="AJ257" s="577" t="e">
        <f>IF(NFI_Expiration=1,IF(#REF!&lt;VLOOKUP(S$5,NFI,5,0),1,0)*Table_NFI[[#This Row],[Plastic Bucket]],Table_NFI[Plastic Bucket])</f>
        <v>#REF!</v>
      </c>
      <c r="AK257" s="577" t="e">
        <f>IF(NFI_Expiration=1,IF(#REF!&lt;VLOOKUP(T$5,NFI,5,0),1,0)*Table_NFI[[#This Row],[Plastic Mat]],Table_NFI[Plastic Mat])*IF(Table_NFI[[#This Row],[Distribution Date]]&gt;"2014-04-01",1,2.5)</f>
        <v>#REF!</v>
      </c>
      <c r="AL257" s="577" t="e">
        <f>IF(NFI_Expiration=1,IF(#REF!&lt;VLOOKUP(U$5,NFI,5,0),1,0)*Table_NFI[[#This Row],[Winter Clothes Adult]],Table_NFI[Winter Clothes Adult])</f>
        <v>#REF!</v>
      </c>
      <c r="AM257" s="577"/>
      <c r="AN257" s="577"/>
      <c r="AO257" s="577"/>
      <c r="AP257" s="577">
        <f>IF(Table_NFI[[#This Row],[Winter Clothes Adult]]+Table_NFI[[#This Row],[Winter Clothes Children]]+Table_NFI[[#This Row],[Winter Items Other]]+Table_NFI[[#This Row],[Winter Blanket]]&gt;0,1,0)</f>
        <v>0</v>
      </c>
      <c r="AQ257" s="577"/>
      <c r="AR257" s="577"/>
      <c r="AS257" s="577"/>
      <c r="AT257" s="220" t="str">
        <f>IFERROR(VLOOKUP(Table_NFI[[#This Row],[Location]],CL,2,0),"")</f>
        <v/>
      </c>
      <c r="AU257" s="197"/>
    </row>
    <row r="258" spans="2:47" x14ac:dyDescent="0.25">
      <c r="B258" s="575">
        <v>43228</v>
      </c>
      <c r="C258" s="575" t="str">
        <f>MONTH(Table_NFI[[#This Row],[Distribution Date]]) &amp; "/" &amp; YEAR(Table_NFI[[#This Row],[Distribution Date]])</f>
        <v>5/2018</v>
      </c>
      <c r="D258" s="715" t="s">
        <v>1583</v>
      </c>
      <c r="E258" s="715" t="s">
        <v>1583</v>
      </c>
      <c r="F258" s="715" t="s">
        <v>378</v>
      </c>
      <c r="G258" s="715" t="s">
        <v>27</v>
      </c>
      <c r="H258" s="715" t="s">
        <v>1818</v>
      </c>
      <c r="I258" s="715"/>
      <c r="J258" s="715"/>
      <c r="K258" s="576"/>
      <c r="L258" s="715"/>
      <c r="M258" s="715"/>
      <c r="N258" s="715">
        <v>130</v>
      </c>
      <c r="O258" s="715">
        <v>20</v>
      </c>
      <c r="P258" s="715">
        <v>130</v>
      </c>
      <c r="Q258" s="715">
        <v>130</v>
      </c>
      <c r="R258" s="576"/>
      <c r="S258" s="715"/>
      <c r="T258" s="715">
        <v>130</v>
      </c>
      <c r="U258" s="576"/>
      <c r="V258" s="576"/>
      <c r="W258" s="576"/>
      <c r="X258" s="576"/>
      <c r="Y258" s="715"/>
      <c r="Z258" s="576"/>
      <c r="AA258" s="576"/>
      <c r="AB258" s="576"/>
      <c r="AC258" s="577" t="e">
        <f>IF(NFI_Expiration=1,IF(#REF!&lt;VLOOKUP(L$5,NFI,5,0),1,0)*Table_NFI[[#This Row],[NFI Core Kit]],Table_NFI[NFI Core Kit])</f>
        <v>#REF!</v>
      </c>
      <c r="AD258" s="577" t="e">
        <f>IF(NFI_Expiration=1,IF(#REF!&lt;VLOOKUP(M$5,NFI,5,0),1,0)*Table_NFI[[#This Row],[Sanitary Kit]],Table_NFI[Sanitary Kit])</f>
        <v>#REF!</v>
      </c>
      <c r="AE258" s="577" t="e">
        <f>IF(NFI_Expiration=1,IF(#REF!&lt;VLOOKUP(N$5,NFI,5,0),1,0)*Table_NFI[[#This Row],[Mosquito net]],Table_NFI[Mosquito net])</f>
        <v>#REF!</v>
      </c>
      <c r="AF258" s="577" t="e">
        <f>IF(NFI_Expiration=1,IF(#REF!&lt;VLOOKUP(O$5,NFI,5,0),1,0)*Table_NFI[[#This Row],[Tarpaulin]],Table_NFI[[#This Row],[Tarpaulin]])</f>
        <v>#REF!</v>
      </c>
      <c r="AG258" s="577" t="e">
        <f>IF(NFI_Expiration=1,IF(#REF!&lt;VLOOKUP(P$5,NFI,5,0),1,0)*Table_NFI[[#This Row],[Blanket]],Table_NFI[[#This Row],[Blanket]])</f>
        <v>#REF!</v>
      </c>
      <c r="AH258" s="577" t="e">
        <f>IF(NFI_Expiration=1,IF(#REF!&lt;VLOOKUP(Q$5,NFI,5,0),1,0)*Table_NFI[[#This Row],[Kitchen Set]],Table_NFI[Kitchen Set])</f>
        <v>#REF!</v>
      </c>
      <c r="AI258" s="577" t="e">
        <f>IF(NFI_Expiration=1,IF(#REF!&lt;VLOOKUP(R$5,NFI,5,0),1,0)*Table_NFI[[#This Row],[Clothes Kit]],Table_NFI[Clothes Kit])</f>
        <v>#REF!</v>
      </c>
      <c r="AJ258" s="577" t="e">
        <f>IF(NFI_Expiration=1,IF(#REF!&lt;VLOOKUP(S$5,NFI,5,0),1,0)*Table_NFI[[#This Row],[Plastic Bucket]],Table_NFI[Plastic Bucket])</f>
        <v>#REF!</v>
      </c>
      <c r="AK258" s="577" t="e">
        <f>IF(NFI_Expiration=1,IF(#REF!&lt;VLOOKUP(T$5,NFI,5,0),1,0)*Table_NFI[[#This Row],[Plastic Mat]],Table_NFI[Plastic Mat])*IF(Table_NFI[[#This Row],[Distribution Date]]&gt;"2014-04-01",1,2.5)</f>
        <v>#REF!</v>
      </c>
      <c r="AL258" s="577" t="e">
        <f>IF(NFI_Expiration=1,IF(#REF!&lt;VLOOKUP(U$5,NFI,5,0),1,0)*Table_NFI[[#This Row],[Winter Clothes Adult]],Table_NFI[Winter Clothes Adult])</f>
        <v>#REF!</v>
      </c>
      <c r="AM258" s="577"/>
      <c r="AN258" s="577"/>
      <c r="AO258" s="577"/>
      <c r="AP258" s="577">
        <f>IF(Table_NFI[[#This Row],[Winter Clothes Adult]]+Table_NFI[[#This Row],[Winter Clothes Children]]+Table_NFI[[#This Row],[Winter Items Other]]+Table_NFI[[#This Row],[Winter Blanket]]&gt;0,1,0)</f>
        <v>0</v>
      </c>
      <c r="AQ258" s="577"/>
      <c r="AR258" s="577"/>
      <c r="AS258" s="577"/>
      <c r="AT258" s="220" t="str">
        <f>IFERROR(VLOOKUP(Table_NFI[[#This Row],[Location]],CL,2,0),"")</f>
        <v/>
      </c>
      <c r="AU258" s="197"/>
    </row>
    <row r="259" spans="2:47" x14ac:dyDescent="0.25">
      <c r="B259" s="575">
        <v>43228</v>
      </c>
      <c r="C259" s="575" t="str">
        <f>MONTH(Table_NFI[[#This Row],[Distribution Date]]) &amp; "/" &amp; YEAR(Table_NFI[[#This Row],[Distribution Date]])</f>
        <v>5/2018</v>
      </c>
      <c r="D259" s="715" t="s">
        <v>420</v>
      </c>
      <c r="E259" s="715" t="s">
        <v>420</v>
      </c>
      <c r="F259" s="715" t="s">
        <v>378</v>
      </c>
      <c r="G259" s="715" t="s">
        <v>237</v>
      </c>
      <c r="H259" s="715" t="s">
        <v>1814</v>
      </c>
      <c r="I259" s="715"/>
      <c r="J259" s="715"/>
      <c r="K259" s="576"/>
      <c r="L259" s="715"/>
      <c r="M259" s="715"/>
      <c r="N259" s="715"/>
      <c r="O259" s="715">
        <v>26</v>
      </c>
      <c r="P259" s="715"/>
      <c r="Q259" s="715"/>
      <c r="R259" s="576"/>
      <c r="S259" s="715"/>
      <c r="T259" s="715"/>
      <c r="U259" s="576"/>
      <c r="V259" s="576"/>
      <c r="W259" s="576"/>
      <c r="X259" s="576"/>
      <c r="Y259" s="715"/>
      <c r="Z259" s="576"/>
      <c r="AA259" s="576"/>
      <c r="AB259" s="576"/>
      <c r="AC259" s="577" t="e">
        <f>IF(NFI_Expiration=1,IF(#REF!&lt;VLOOKUP(L$5,NFI,5,0),1,0)*Table_NFI[[#This Row],[NFI Core Kit]],Table_NFI[NFI Core Kit])</f>
        <v>#REF!</v>
      </c>
      <c r="AD259" s="577" t="e">
        <f>IF(NFI_Expiration=1,IF(#REF!&lt;VLOOKUP(M$5,NFI,5,0),1,0)*Table_NFI[[#This Row],[Sanitary Kit]],Table_NFI[Sanitary Kit])</f>
        <v>#REF!</v>
      </c>
      <c r="AE259" s="577" t="e">
        <f>IF(NFI_Expiration=1,IF(#REF!&lt;VLOOKUP(N$5,NFI,5,0),1,0)*Table_NFI[[#This Row],[Mosquito net]],Table_NFI[Mosquito net])</f>
        <v>#REF!</v>
      </c>
      <c r="AF259" s="577" t="e">
        <f>IF(NFI_Expiration=1,IF(#REF!&lt;VLOOKUP(O$5,NFI,5,0),1,0)*Table_NFI[[#This Row],[Tarpaulin]],Table_NFI[[#This Row],[Tarpaulin]])</f>
        <v>#REF!</v>
      </c>
      <c r="AG259" s="577" t="e">
        <f>IF(NFI_Expiration=1,IF(#REF!&lt;VLOOKUP(P$5,NFI,5,0),1,0)*Table_NFI[[#This Row],[Blanket]],Table_NFI[[#This Row],[Blanket]])</f>
        <v>#REF!</v>
      </c>
      <c r="AH259" s="577" t="e">
        <f>IF(NFI_Expiration=1,IF(#REF!&lt;VLOOKUP(Q$5,NFI,5,0),1,0)*Table_NFI[[#This Row],[Kitchen Set]],Table_NFI[Kitchen Set])</f>
        <v>#REF!</v>
      </c>
      <c r="AI259" s="577" t="e">
        <f>IF(NFI_Expiration=1,IF(#REF!&lt;VLOOKUP(R$5,NFI,5,0),1,0)*Table_NFI[[#This Row],[Clothes Kit]],Table_NFI[Clothes Kit])</f>
        <v>#REF!</v>
      </c>
      <c r="AJ259" s="577" t="e">
        <f>IF(NFI_Expiration=1,IF(#REF!&lt;VLOOKUP(S$5,NFI,5,0),1,0)*Table_NFI[[#This Row],[Plastic Bucket]],Table_NFI[Plastic Bucket])</f>
        <v>#REF!</v>
      </c>
      <c r="AK259" s="577" t="e">
        <f>IF(NFI_Expiration=1,IF(#REF!&lt;VLOOKUP(T$5,NFI,5,0),1,0)*Table_NFI[[#This Row],[Plastic Mat]],Table_NFI[Plastic Mat])*IF(Table_NFI[[#This Row],[Distribution Date]]&gt;"2014-04-01",1,2.5)</f>
        <v>#REF!</v>
      </c>
      <c r="AL259" s="577" t="e">
        <f>IF(NFI_Expiration=1,IF(#REF!&lt;VLOOKUP(U$5,NFI,5,0),1,0)*Table_NFI[[#This Row],[Winter Clothes Adult]],Table_NFI[Winter Clothes Adult])</f>
        <v>#REF!</v>
      </c>
      <c r="AM259" s="577"/>
      <c r="AN259" s="577"/>
      <c r="AO259" s="577"/>
      <c r="AP259" s="577">
        <f>IF(Table_NFI[[#This Row],[Winter Clothes Adult]]+Table_NFI[[#This Row],[Winter Clothes Children]]+Table_NFI[[#This Row],[Winter Items Other]]+Table_NFI[[#This Row],[Winter Blanket]]&gt;0,1,0)</f>
        <v>0</v>
      </c>
      <c r="AQ259" s="577"/>
      <c r="AR259" s="577"/>
      <c r="AS259" s="577"/>
      <c r="AT259" s="220" t="str">
        <f>IFERROR(VLOOKUP(Table_NFI[[#This Row],[Location]],CL,2,0),"")</f>
        <v/>
      </c>
      <c r="AU259" s="197"/>
    </row>
    <row r="260" spans="2:47" x14ac:dyDescent="0.25">
      <c r="B260" s="575">
        <v>43228</v>
      </c>
      <c r="C260" s="575" t="str">
        <f>MONTH(Table_NFI[[#This Row],[Distribution Date]]) &amp; "/" &amp; YEAR(Table_NFI[[#This Row],[Distribution Date]])</f>
        <v>5/2018</v>
      </c>
      <c r="D260" s="715" t="s">
        <v>420</v>
      </c>
      <c r="E260" s="715" t="s">
        <v>1659</v>
      </c>
      <c r="F260" s="715" t="s">
        <v>378</v>
      </c>
      <c r="G260" s="715" t="s">
        <v>480</v>
      </c>
      <c r="H260" s="715" t="s">
        <v>1822</v>
      </c>
      <c r="I260" s="715"/>
      <c r="J260" s="715"/>
      <c r="K260" s="576"/>
      <c r="L260" s="715"/>
      <c r="M260" s="715"/>
      <c r="N260" s="715"/>
      <c r="O260" s="715"/>
      <c r="P260" s="715"/>
      <c r="Q260" s="715">
        <v>40</v>
      </c>
      <c r="R260" s="576"/>
      <c r="S260" s="715"/>
      <c r="T260" s="715"/>
      <c r="U260" s="576"/>
      <c r="V260" s="576"/>
      <c r="W260" s="576"/>
      <c r="X260" s="576"/>
      <c r="Y260" s="715"/>
      <c r="Z260" s="576"/>
      <c r="AA260" s="576"/>
      <c r="AB260" s="576"/>
      <c r="AC260" s="577" t="e">
        <f>IF(NFI_Expiration=1,IF(#REF!&lt;VLOOKUP(L$5,NFI,5,0),1,0)*Table_NFI[[#This Row],[NFI Core Kit]],Table_NFI[NFI Core Kit])</f>
        <v>#REF!</v>
      </c>
      <c r="AD260" s="577" t="e">
        <f>IF(NFI_Expiration=1,IF(#REF!&lt;VLOOKUP(M$5,NFI,5,0),1,0)*Table_NFI[[#This Row],[Sanitary Kit]],Table_NFI[Sanitary Kit])</f>
        <v>#REF!</v>
      </c>
      <c r="AE260" s="577" t="e">
        <f>IF(NFI_Expiration=1,IF(#REF!&lt;VLOOKUP(N$5,NFI,5,0),1,0)*Table_NFI[[#This Row],[Mosquito net]],Table_NFI[Mosquito net])</f>
        <v>#REF!</v>
      </c>
      <c r="AF260" s="577" t="e">
        <f>IF(NFI_Expiration=1,IF(#REF!&lt;VLOOKUP(O$5,NFI,5,0),1,0)*Table_NFI[[#This Row],[Tarpaulin]],Table_NFI[[#This Row],[Tarpaulin]])</f>
        <v>#REF!</v>
      </c>
      <c r="AG260" s="577" t="e">
        <f>IF(NFI_Expiration=1,IF(#REF!&lt;VLOOKUP(P$5,NFI,5,0),1,0)*Table_NFI[[#This Row],[Blanket]],Table_NFI[[#This Row],[Blanket]])</f>
        <v>#REF!</v>
      </c>
      <c r="AH260" s="577" t="e">
        <f>IF(NFI_Expiration=1,IF(#REF!&lt;VLOOKUP(Q$5,NFI,5,0),1,0)*Table_NFI[[#This Row],[Kitchen Set]],Table_NFI[Kitchen Set])</f>
        <v>#REF!</v>
      </c>
      <c r="AI260" s="577" t="e">
        <f>IF(NFI_Expiration=1,IF(#REF!&lt;VLOOKUP(R$5,NFI,5,0),1,0)*Table_NFI[[#This Row],[Clothes Kit]],Table_NFI[Clothes Kit])</f>
        <v>#REF!</v>
      </c>
      <c r="AJ260" s="577" t="e">
        <f>IF(NFI_Expiration=1,IF(#REF!&lt;VLOOKUP(S$5,NFI,5,0),1,0)*Table_NFI[[#This Row],[Plastic Bucket]],Table_NFI[Plastic Bucket])</f>
        <v>#REF!</v>
      </c>
      <c r="AK260" s="577" t="e">
        <f>IF(NFI_Expiration=1,IF(#REF!&lt;VLOOKUP(T$5,NFI,5,0),1,0)*Table_NFI[[#This Row],[Plastic Mat]],Table_NFI[Plastic Mat])*IF(Table_NFI[[#This Row],[Distribution Date]]&gt;"2014-04-01",1,2.5)</f>
        <v>#REF!</v>
      </c>
      <c r="AL260" s="577" t="e">
        <f>IF(NFI_Expiration=1,IF(#REF!&lt;VLOOKUP(U$5,NFI,5,0),1,0)*Table_NFI[[#This Row],[Winter Clothes Adult]],Table_NFI[Winter Clothes Adult])</f>
        <v>#REF!</v>
      </c>
      <c r="AM260" s="577"/>
      <c r="AN260" s="577"/>
      <c r="AO260" s="577"/>
      <c r="AP260" s="577">
        <f>IF(Table_NFI[[#This Row],[Winter Clothes Adult]]+Table_NFI[[#This Row],[Winter Clothes Children]]+Table_NFI[[#This Row],[Winter Items Other]]+Table_NFI[[#This Row],[Winter Blanket]]&gt;0,1,0)</f>
        <v>0</v>
      </c>
      <c r="AQ260" s="577"/>
      <c r="AR260" s="577"/>
      <c r="AS260" s="577"/>
      <c r="AT260" s="220" t="str">
        <f>IFERROR(VLOOKUP(Table_NFI[[#This Row],[Location]],CL,2,0),"")</f>
        <v/>
      </c>
      <c r="AU260" s="197"/>
    </row>
    <row r="261" spans="2:47" x14ac:dyDescent="0.25">
      <c r="B261" s="575">
        <v>43228</v>
      </c>
      <c r="C261" s="575" t="str">
        <f>MONTH(Table_NFI[[#This Row],[Distribution Date]]) &amp; "/" &amp; YEAR(Table_NFI[[#This Row],[Distribution Date]])</f>
        <v>5/2018</v>
      </c>
      <c r="D261" s="715" t="s">
        <v>420</v>
      </c>
      <c r="E261" s="715" t="s">
        <v>1659</v>
      </c>
      <c r="F261" s="715" t="s">
        <v>378</v>
      </c>
      <c r="G261" s="715" t="s">
        <v>237</v>
      </c>
      <c r="H261" s="715" t="s">
        <v>1814</v>
      </c>
      <c r="I261" s="715"/>
      <c r="J261" s="715">
        <v>251</v>
      </c>
      <c r="K261" s="576"/>
      <c r="L261" s="715"/>
      <c r="M261" s="715"/>
      <c r="N261" s="715"/>
      <c r="O261" s="715"/>
      <c r="P261" s="715"/>
      <c r="Q261" s="715">
        <v>251</v>
      </c>
      <c r="R261" s="576"/>
      <c r="S261" s="715"/>
      <c r="T261" s="715"/>
      <c r="U261" s="576"/>
      <c r="V261" s="576"/>
      <c r="W261" s="576"/>
      <c r="X261" s="576"/>
      <c r="Y261" s="715"/>
      <c r="Z261" s="576"/>
      <c r="AA261" s="576"/>
      <c r="AB261" s="576"/>
      <c r="AC261" s="577" t="e">
        <f>IF(NFI_Expiration=1,IF(#REF!&lt;VLOOKUP(L$5,NFI,5,0),1,0)*Table_NFI[[#This Row],[NFI Core Kit]],Table_NFI[NFI Core Kit])</f>
        <v>#REF!</v>
      </c>
      <c r="AD261" s="577" t="e">
        <f>IF(NFI_Expiration=1,IF(#REF!&lt;VLOOKUP(M$5,NFI,5,0),1,0)*Table_NFI[[#This Row],[Sanitary Kit]],Table_NFI[Sanitary Kit])</f>
        <v>#REF!</v>
      </c>
      <c r="AE261" s="577" t="e">
        <f>IF(NFI_Expiration=1,IF(#REF!&lt;VLOOKUP(N$5,NFI,5,0),1,0)*Table_NFI[[#This Row],[Mosquito net]],Table_NFI[Mosquito net])</f>
        <v>#REF!</v>
      </c>
      <c r="AF261" s="577" t="e">
        <f>IF(NFI_Expiration=1,IF(#REF!&lt;VLOOKUP(O$5,NFI,5,0),1,0)*Table_NFI[[#This Row],[Tarpaulin]],Table_NFI[[#This Row],[Tarpaulin]])</f>
        <v>#REF!</v>
      </c>
      <c r="AG261" s="577" t="e">
        <f>IF(NFI_Expiration=1,IF(#REF!&lt;VLOOKUP(P$5,NFI,5,0),1,0)*Table_NFI[[#This Row],[Blanket]],Table_NFI[[#This Row],[Blanket]])</f>
        <v>#REF!</v>
      </c>
      <c r="AH261" s="577" t="e">
        <f>IF(NFI_Expiration=1,IF(#REF!&lt;VLOOKUP(Q$5,NFI,5,0),1,0)*Table_NFI[[#This Row],[Kitchen Set]],Table_NFI[Kitchen Set])</f>
        <v>#REF!</v>
      </c>
      <c r="AI261" s="577" t="e">
        <f>IF(NFI_Expiration=1,IF(#REF!&lt;VLOOKUP(R$5,NFI,5,0),1,0)*Table_NFI[[#This Row],[Clothes Kit]],Table_NFI[Clothes Kit])</f>
        <v>#REF!</v>
      </c>
      <c r="AJ261" s="577" t="e">
        <f>IF(NFI_Expiration=1,IF(#REF!&lt;VLOOKUP(S$5,NFI,5,0),1,0)*Table_NFI[[#This Row],[Plastic Bucket]],Table_NFI[Plastic Bucket])</f>
        <v>#REF!</v>
      </c>
      <c r="AK261" s="577" t="e">
        <f>IF(NFI_Expiration=1,IF(#REF!&lt;VLOOKUP(T$5,NFI,5,0),1,0)*Table_NFI[[#This Row],[Plastic Mat]],Table_NFI[Plastic Mat])*IF(Table_NFI[[#This Row],[Distribution Date]]&gt;"2014-04-01",1,2.5)</f>
        <v>#REF!</v>
      </c>
      <c r="AL261" s="577" t="e">
        <f>IF(NFI_Expiration=1,IF(#REF!&lt;VLOOKUP(U$5,NFI,5,0),1,0)*Table_NFI[[#This Row],[Winter Clothes Adult]],Table_NFI[Winter Clothes Adult])</f>
        <v>#REF!</v>
      </c>
      <c r="AM261" s="577"/>
      <c r="AN261" s="577"/>
      <c r="AO261" s="577"/>
      <c r="AP261" s="577">
        <f>IF(Table_NFI[[#This Row],[Winter Clothes Adult]]+Table_NFI[[#This Row],[Winter Clothes Children]]+Table_NFI[[#This Row],[Winter Items Other]]+Table_NFI[[#This Row],[Winter Blanket]]&gt;0,1,0)</f>
        <v>0</v>
      </c>
      <c r="AQ261" s="577"/>
      <c r="AR261" s="577"/>
      <c r="AS261" s="577"/>
      <c r="AT261" s="220" t="str">
        <f>IFERROR(VLOOKUP(Table_NFI[[#This Row],[Location]],CL,2,0),"")</f>
        <v/>
      </c>
      <c r="AU261" s="197"/>
    </row>
    <row r="262" spans="2:47" x14ac:dyDescent="0.25">
      <c r="B262" s="575">
        <v>43228</v>
      </c>
      <c r="C262" s="575" t="str">
        <f>MONTH(Table_NFI[[#This Row],[Distribution Date]]) &amp; "/" &amp; YEAR(Table_NFI[[#This Row],[Distribution Date]])</f>
        <v>5/2018</v>
      </c>
      <c r="D262" s="715" t="s">
        <v>420</v>
      </c>
      <c r="E262" s="715" t="s">
        <v>1659</v>
      </c>
      <c r="F262" s="715" t="s">
        <v>378</v>
      </c>
      <c r="G262" s="715" t="s">
        <v>237</v>
      </c>
      <c r="H262" s="715" t="s">
        <v>1824</v>
      </c>
      <c r="I262" s="715"/>
      <c r="J262" s="715">
        <v>160</v>
      </c>
      <c r="K262" s="576"/>
      <c r="L262" s="715"/>
      <c r="M262" s="715"/>
      <c r="N262" s="715"/>
      <c r="O262" s="715"/>
      <c r="P262" s="715"/>
      <c r="Q262" s="715">
        <v>160</v>
      </c>
      <c r="R262" s="576"/>
      <c r="S262" s="715"/>
      <c r="T262" s="715"/>
      <c r="U262" s="576"/>
      <c r="V262" s="576"/>
      <c r="W262" s="576"/>
      <c r="X262" s="576"/>
      <c r="Y262" s="715"/>
      <c r="Z262" s="576"/>
      <c r="AA262" s="576"/>
      <c r="AB262" s="576"/>
      <c r="AC262" s="577" t="e">
        <f>IF(NFI_Expiration=1,IF(#REF!&lt;VLOOKUP(L$5,NFI,5,0),1,0)*Table_NFI[[#This Row],[NFI Core Kit]],Table_NFI[NFI Core Kit])</f>
        <v>#REF!</v>
      </c>
      <c r="AD262" s="577" t="e">
        <f>IF(NFI_Expiration=1,IF(#REF!&lt;VLOOKUP(M$5,NFI,5,0),1,0)*Table_NFI[[#This Row],[Sanitary Kit]],Table_NFI[Sanitary Kit])</f>
        <v>#REF!</v>
      </c>
      <c r="AE262" s="577" t="e">
        <f>IF(NFI_Expiration=1,IF(#REF!&lt;VLOOKUP(N$5,NFI,5,0),1,0)*Table_NFI[[#This Row],[Mosquito net]],Table_NFI[Mosquito net])</f>
        <v>#REF!</v>
      </c>
      <c r="AF262" s="577" t="e">
        <f>IF(NFI_Expiration=1,IF(#REF!&lt;VLOOKUP(O$5,NFI,5,0),1,0)*Table_NFI[[#This Row],[Tarpaulin]],Table_NFI[[#This Row],[Tarpaulin]])</f>
        <v>#REF!</v>
      </c>
      <c r="AG262" s="577" t="e">
        <f>IF(NFI_Expiration=1,IF(#REF!&lt;VLOOKUP(P$5,NFI,5,0),1,0)*Table_NFI[[#This Row],[Blanket]],Table_NFI[[#This Row],[Blanket]])</f>
        <v>#REF!</v>
      </c>
      <c r="AH262" s="577" t="e">
        <f>IF(NFI_Expiration=1,IF(#REF!&lt;VLOOKUP(Q$5,NFI,5,0),1,0)*Table_NFI[[#This Row],[Kitchen Set]],Table_NFI[Kitchen Set])</f>
        <v>#REF!</v>
      </c>
      <c r="AI262" s="577" t="e">
        <f>IF(NFI_Expiration=1,IF(#REF!&lt;VLOOKUP(R$5,NFI,5,0),1,0)*Table_NFI[[#This Row],[Clothes Kit]],Table_NFI[Clothes Kit])</f>
        <v>#REF!</v>
      </c>
      <c r="AJ262" s="577" t="e">
        <f>IF(NFI_Expiration=1,IF(#REF!&lt;VLOOKUP(S$5,NFI,5,0),1,0)*Table_NFI[[#This Row],[Plastic Bucket]],Table_NFI[Plastic Bucket])</f>
        <v>#REF!</v>
      </c>
      <c r="AK262" s="577" t="e">
        <f>IF(NFI_Expiration=1,IF(#REF!&lt;VLOOKUP(T$5,NFI,5,0),1,0)*Table_NFI[[#This Row],[Plastic Mat]],Table_NFI[Plastic Mat])*IF(Table_NFI[[#This Row],[Distribution Date]]&gt;"2014-04-01",1,2.5)</f>
        <v>#REF!</v>
      </c>
      <c r="AL262" s="577" t="e">
        <f>IF(NFI_Expiration=1,IF(#REF!&lt;VLOOKUP(U$5,NFI,5,0),1,0)*Table_NFI[[#This Row],[Winter Clothes Adult]],Table_NFI[Winter Clothes Adult])</f>
        <v>#REF!</v>
      </c>
      <c r="AM262" s="577"/>
      <c r="AN262" s="577"/>
      <c r="AO262" s="577"/>
      <c r="AP262" s="577">
        <f>IF(Table_NFI[[#This Row],[Winter Clothes Adult]]+Table_NFI[[#This Row],[Winter Clothes Children]]+Table_NFI[[#This Row],[Winter Items Other]]+Table_NFI[[#This Row],[Winter Blanket]]&gt;0,1,0)</f>
        <v>0</v>
      </c>
      <c r="AQ262" s="577"/>
      <c r="AR262" s="577"/>
      <c r="AS262" s="577"/>
      <c r="AT262" s="220" t="str">
        <f>IFERROR(VLOOKUP(Table_NFI[[#This Row],[Location]],CL,2,0),"")</f>
        <v/>
      </c>
      <c r="AU262" s="197"/>
    </row>
    <row r="263" spans="2:47" x14ac:dyDescent="0.25">
      <c r="B263" s="575">
        <v>43228</v>
      </c>
      <c r="C263" s="575" t="str">
        <f>MONTH(Table_NFI[[#This Row],[Distribution Date]]) &amp; "/" &amp; YEAR(Table_NFI[[#This Row],[Distribution Date]])</f>
        <v>5/2018</v>
      </c>
      <c r="D263" s="715" t="s">
        <v>420</v>
      </c>
      <c r="E263" s="715" t="s">
        <v>1659</v>
      </c>
      <c r="F263" s="715" t="s">
        <v>378</v>
      </c>
      <c r="G263" s="715" t="s">
        <v>1137</v>
      </c>
      <c r="H263" s="715" t="s">
        <v>1821</v>
      </c>
      <c r="I263" s="715"/>
      <c r="J263" s="715">
        <v>101</v>
      </c>
      <c r="K263" s="576"/>
      <c r="L263" s="715"/>
      <c r="M263" s="715"/>
      <c r="N263" s="715"/>
      <c r="O263" s="715"/>
      <c r="P263" s="715"/>
      <c r="Q263" s="715">
        <v>101</v>
      </c>
      <c r="R263" s="576"/>
      <c r="S263" s="715"/>
      <c r="T263" s="715"/>
      <c r="U263" s="576"/>
      <c r="V263" s="576"/>
      <c r="W263" s="576"/>
      <c r="X263" s="576"/>
      <c r="Y263" s="715"/>
      <c r="Z263" s="576"/>
      <c r="AA263" s="576"/>
      <c r="AB263" s="576"/>
      <c r="AC263" s="577" t="e">
        <f>IF(NFI_Expiration=1,IF(#REF!&lt;VLOOKUP(L$5,NFI,5,0),1,0)*Table_NFI[[#This Row],[NFI Core Kit]],Table_NFI[NFI Core Kit])</f>
        <v>#REF!</v>
      </c>
      <c r="AD263" s="577" t="e">
        <f>IF(NFI_Expiration=1,IF(#REF!&lt;VLOOKUP(M$5,NFI,5,0),1,0)*Table_NFI[[#This Row],[Sanitary Kit]],Table_NFI[Sanitary Kit])</f>
        <v>#REF!</v>
      </c>
      <c r="AE263" s="577" t="e">
        <f>IF(NFI_Expiration=1,IF(#REF!&lt;VLOOKUP(N$5,NFI,5,0),1,0)*Table_NFI[[#This Row],[Mosquito net]],Table_NFI[Mosquito net])</f>
        <v>#REF!</v>
      </c>
      <c r="AF263" s="577" t="e">
        <f>IF(NFI_Expiration=1,IF(#REF!&lt;VLOOKUP(O$5,NFI,5,0),1,0)*Table_NFI[[#This Row],[Tarpaulin]],Table_NFI[[#This Row],[Tarpaulin]])</f>
        <v>#REF!</v>
      </c>
      <c r="AG263" s="577" t="e">
        <f>IF(NFI_Expiration=1,IF(#REF!&lt;VLOOKUP(P$5,NFI,5,0),1,0)*Table_NFI[[#This Row],[Blanket]],Table_NFI[[#This Row],[Blanket]])</f>
        <v>#REF!</v>
      </c>
      <c r="AH263" s="577" t="e">
        <f>IF(NFI_Expiration=1,IF(#REF!&lt;VLOOKUP(Q$5,NFI,5,0),1,0)*Table_NFI[[#This Row],[Kitchen Set]],Table_NFI[Kitchen Set])</f>
        <v>#REF!</v>
      </c>
      <c r="AI263" s="577" t="e">
        <f>IF(NFI_Expiration=1,IF(#REF!&lt;VLOOKUP(R$5,NFI,5,0),1,0)*Table_NFI[[#This Row],[Clothes Kit]],Table_NFI[Clothes Kit])</f>
        <v>#REF!</v>
      </c>
      <c r="AJ263" s="577" t="e">
        <f>IF(NFI_Expiration=1,IF(#REF!&lt;VLOOKUP(S$5,NFI,5,0),1,0)*Table_NFI[[#This Row],[Plastic Bucket]],Table_NFI[Plastic Bucket])</f>
        <v>#REF!</v>
      </c>
      <c r="AK263" s="577" t="e">
        <f>IF(NFI_Expiration=1,IF(#REF!&lt;VLOOKUP(T$5,NFI,5,0),1,0)*Table_NFI[[#This Row],[Plastic Mat]],Table_NFI[Plastic Mat])*IF(Table_NFI[[#This Row],[Distribution Date]]&gt;"2014-04-01",1,2.5)</f>
        <v>#REF!</v>
      </c>
      <c r="AL263" s="577" t="e">
        <f>IF(NFI_Expiration=1,IF(#REF!&lt;VLOOKUP(U$5,NFI,5,0),1,0)*Table_NFI[[#This Row],[Winter Clothes Adult]],Table_NFI[Winter Clothes Adult])</f>
        <v>#REF!</v>
      </c>
      <c r="AM263" s="577"/>
      <c r="AN263" s="577"/>
      <c r="AO263" s="577"/>
      <c r="AP263" s="577">
        <f>IF(Table_NFI[[#This Row],[Winter Clothes Adult]]+Table_NFI[[#This Row],[Winter Clothes Children]]+Table_NFI[[#This Row],[Winter Items Other]]+Table_NFI[[#This Row],[Winter Blanket]]&gt;0,1,0)</f>
        <v>0</v>
      </c>
      <c r="AQ263" s="577"/>
      <c r="AR263" s="577"/>
      <c r="AS263" s="577"/>
      <c r="AT263" s="220" t="str">
        <f>IFERROR(VLOOKUP(Table_NFI[[#This Row],[Location]],CL,2,0),"")</f>
        <v/>
      </c>
      <c r="AU263" s="197"/>
    </row>
    <row r="264" spans="2:47" x14ac:dyDescent="0.25">
      <c r="B264" s="575">
        <v>43228</v>
      </c>
      <c r="C264" s="575" t="str">
        <f>MONTH(Table_NFI[[#This Row],[Distribution Date]]) &amp; "/" &amp; YEAR(Table_NFI[[#This Row],[Distribution Date]])</f>
        <v>5/2018</v>
      </c>
      <c r="D264" s="715" t="s">
        <v>420</v>
      </c>
      <c r="E264" s="715" t="s">
        <v>1659</v>
      </c>
      <c r="F264" s="715" t="s">
        <v>378</v>
      </c>
      <c r="G264" s="715" t="s">
        <v>237</v>
      </c>
      <c r="H264" s="715" t="s">
        <v>1823</v>
      </c>
      <c r="I264" s="715"/>
      <c r="J264" s="715">
        <v>86</v>
      </c>
      <c r="K264" s="576"/>
      <c r="L264" s="715"/>
      <c r="M264" s="715"/>
      <c r="N264" s="715"/>
      <c r="O264" s="715"/>
      <c r="P264" s="715"/>
      <c r="Q264" s="715">
        <v>86</v>
      </c>
      <c r="R264" s="576"/>
      <c r="S264" s="715"/>
      <c r="T264" s="715"/>
      <c r="U264" s="576"/>
      <c r="V264" s="576"/>
      <c r="W264" s="576"/>
      <c r="X264" s="576"/>
      <c r="Y264" s="715"/>
      <c r="Z264" s="576"/>
      <c r="AA264" s="576"/>
      <c r="AB264" s="576"/>
      <c r="AC264" s="577" t="e">
        <f>IF(NFI_Expiration=1,IF(#REF!&lt;VLOOKUP(L$5,NFI,5,0),1,0)*Table_NFI[[#This Row],[NFI Core Kit]],Table_NFI[NFI Core Kit])</f>
        <v>#REF!</v>
      </c>
      <c r="AD264" s="577" t="e">
        <f>IF(NFI_Expiration=1,IF(#REF!&lt;VLOOKUP(M$5,NFI,5,0),1,0)*Table_NFI[[#This Row],[Sanitary Kit]],Table_NFI[Sanitary Kit])</f>
        <v>#REF!</v>
      </c>
      <c r="AE264" s="577" t="e">
        <f>IF(NFI_Expiration=1,IF(#REF!&lt;VLOOKUP(N$5,NFI,5,0),1,0)*Table_NFI[[#This Row],[Mosquito net]],Table_NFI[Mosquito net])</f>
        <v>#REF!</v>
      </c>
      <c r="AF264" s="577" t="e">
        <f>IF(NFI_Expiration=1,IF(#REF!&lt;VLOOKUP(O$5,NFI,5,0),1,0)*Table_NFI[[#This Row],[Tarpaulin]],Table_NFI[[#This Row],[Tarpaulin]])</f>
        <v>#REF!</v>
      </c>
      <c r="AG264" s="577" t="e">
        <f>IF(NFI_Expiration=1,IF(#REF!&lt;VLOOKUP(P$5,NFI,5,0),1,0)*Table_NFI[[#This Row],[Blanket]],Table_NFI[[#This Row],[Blanket]])</f>
        <v>#REF!</v>
      </c>
      <c r="AH264" s="577" t="e">
        <f>IF(NFI_Expiration=1,IF(#REF!&lt;VLOOKUP(Q$5,NFI,5,0),1,0)*Table_NFI[[#This Row],[Kitchen Set]],Table_NFI[Kitchen Set])</f>
        <v>#REF!</v>
      </c>
      <c r="AI264" s="577" t="e">
        <f>IF(NFI_Expiration=1,IF(#REF!&lt;VLOOKUP(R$5,NFI,5,0),1,0)*Table_NFI[[#This Row],[Clothes Kit]],Table_NFI[Clothes Kit])</f>
        <v>#REF!</v>
      </c>
      <c r="AJ264" s="577" t="e">
        <f>IF(NFI_Expiration=1,IF(#REF!&lt;VLOOKUP(S$5,NFI,5,0),1,0)*Table_NFI[[#This Row],[Plastic Bucket]],Table_NFI[Plastic Bucket])</f>
        <v>#REF!</v>
      </c>
      <c r="AK264" s="577" t="e">
        <f>IF(NFI_Expiration=1,IF(#REF!&lt;VLOOKUP(T$5,NFI,5,0),1,0)*Table_NFI[[#This Row],[Plastic Mat]],Table_NFI[Plastic Mat])*IF(Table_NFI[[#This Row],[Distribution Date]]&gt;"2014-04-01",1,2.5)</f>
        <v>#REF!</v>
      </c>
      <c r="AL264" s="577" t="e">
        <f>IF(NFI_Expiration=1,IF(#REF!&lt;VLOOKUP(U$5,NFI,5,0),1,0)*Table_NFI[[#This Row],[Winter Clothes Adult]],Table_NFI[Winter Clothes Adult])</f>
        <v>#REF!</v>
      </c>
      <c r="AM264" s="577"/>
      <c r="AN264" s="577"/>
      <c r="AO264" s="577"/>
      <c r="AP264" s="577">
        <f>IF(Table_NFI[[#This Row],[Winter Clothes Adult]]+Table_NFI[[#This Row],[Winter Clothes Children]]+Table_NFI[[#This Row],[Winter Items Other]]+Table_NFI[[#This Row],[Winter Blanket]]&gt;0,1,0)</f>
        <v>0</v>
      </c>
      <c r="AQ264" s="577"/>
      <c r="AR264" s="577"/>
      <c r="AS264" s="577"/>
      <c r="AT264" s="220" t="str">
        <f>IFERROR(VLOOKUP(Table_NFI[[#This Row],[Location]],CL,2,0),"")</f>
        <v/>
      </c>
      <c r="AU264" s="197"/>
    </row>
    <row r="265" spans="2:47" x14ac:dyDescent="0.25">
      <c r="B265" s="575">
        <v>43228</v>
      </c>
      <c r="C265" s="575" t="str">
        <f>MONTH(Table_NFI[[#This Row],[Distribution Date]]) &amp; "/" &amp; YEAR(Table_NFI[[#This Row],[Distribution Date]])</f>
        <v>5/2018</v>
      </c>
      <c r="D265" s="715" t="s">
        <v>1474</v>
      </c>
      <c r="E265" s="715"/>
      <c r="F265" s="715" t="s">
        <v>1321</v>
      </c>
      <c r="G265" s="715" t="s">
        <v>297</v>
      </c>
      <c r="H265" s="715" t="s">
        <v>1192</v>
      </c>
      <c r="I265" s="715"/>
      <c r="J265" s="715">
        <v>101</v>
      </c>
      <c r="K265" s="576"/>
      <c r="L265" s="715"/>
      <c r="M265" s="715"/>
      <c r="N265" s="715"/>
      <c r="O265" s="715"/>
      <c r="P265" s="715"/>
      <c r="Q265" s="715"/>
      <c r="R265" s="576"/>
      <c r="S265" s="715">
        <v>101</v>
      </c>
      <c r="T265" s="715"/>
      <c r="U265" s="576"/>
      <c r="V265" s="576"/>
      <c r="W265" s="576"/>
      <c r="X265" s="576"/>
      <c r="Y265" s="715"/>
      <c r="Z265" s="576"/>
      <c r="AA265" s="576"/>
      <c r="AB265" s="576"/>
      <c r="AC265" s="577" t="e">
        <f>IF(NFI_Expiration=1,IF(#REF!&lt;VLOOKUP(L$5,NFI,5,0),1,0)*Table_NFI[[#This Row],[NFI Core Kit]],Table_NFI[NFI Core Kit])</f>
        <v>#REF!</v>
      </c>
      <c r="AD265" s="577" t="e">
        <f>IF(NFI_Expiration=1,IF(#REF!&lt;VLOOKUP(M$5,NFI,5,0),1,0)*Table_NFI[[#This Row],[Sanitary Kit]],Table_NFI[Sanitary Kit])</f>
        <v>#REF!</v>
      </c>
      <c r="AE265" s="577" t="e">
        <f>IF(NFI_Expiration=1,IF(#REF!&lt;VLOOKUP(N$5,NFI,5,0),1,0)*Table_NFI[[#This Row],[Mosquito net]],Table_NFI[Mosquito net])</f>
        <v>#REF!</v>
      </c>
      <c r="AF265" s="577" t="e">
        <f>IF(NFI_Expiration=1,IF(#REF!&lt;VLOOKUP(O$5,NFI,5,0),1,0)*Table_NFI[[#This Row],[Tarpaulin]],Table_NFI[[#This Row],[Tarpaulin]])</f>
        <v>#REF!</v>
      </c>
      <c r="AG265" s="577" t="e">
        <f>IF(NFI_Expiration=1,IF(#REF!&lt;VLOOKUP(P$5,NFI,5,0),1,0)*Table_NFI[[#This Row],[Blanket]],Table_NFI[[#This Row],[Blanket]])</f>
        <v>#REF!</v>
      </c>
      <c r="AH265" s="577" t="e">
        <f>IF(NFI_Expiration=1,IF(#REF!&lt;VLOOKUP(Q$5,NFI,5,0),1,0)*Table_NFI[[#This Row],[Kitchen Set]],Table_NFI[Kitchen Set])</f>
        <v>#REF!</v>
      </c>
      <c r="AI265" s="577" t="e">
        <f>IF(NFI_Expiration=1,IF(#REF!&lt;VLOOKUP(R$5,NFI,5,0),1,0)*Table_NFI[[#This Row],[Clothes Kit]],Table_NFI[Clothes Kit])</f>
        <v>#REF!</v>
      </c>
      <c r="AJ265" s="577" t="e">
        <f>IF(NFI_Expiration=1,IF(#REF!&lt;VLOOKUP(S$5,NFI,5,0),1,0)*Table_NFI[[#This Row],[Plastic Bucket]],Table_NFI[Plastic Bucket])</f>
        <v>#REF!</v>
      </c>
      <c r="AK265" s="577" t="e">
        <f>IF(NFI_Expiration=1,IF(#REF!&lt;VLOOKUP(T$5,NFI,5,0),1,0)*Table_NFI[[#This Row],[Plastic Mat]],Table_NFI[Plastic Mat])*IF(Table_NFI[[#This Row],[Distribution Date]]&gt;"2014-04-01",1,2.5)</f>
        <v>#REF!</v>
      </c>
      <c r="AL265" s="577" t="e">
        <f>IF(NFI_Expiration=1,IF(#REF!&lt;VLOOKUP(U$5,NFI,5,0),1,0)*Table_NFI[[#This Row],[Winter Clothes Adult]],Table_NFI[Winter Clothes Adult])</f>
        <v>#REF!</v>
      </c>
      <c r="AM265" s="577"/>
      <c r="AN265" s="577"/>
      <c r="AO265" s="577"/>
      <c r="AP265" s="577">
        <f>IF(Table_NFI[[#This Row],[Winter Clothes Adult]]+Table_NFI[[#This Row],[Winter Clothes Children]]+Table_NFI[[#This Row],[Winter Items Other]]+Table_NFI[[#This Row],[Winter Blanket]]&gt;0,1,0)</f>
        <v>0</v>
      </c>
      <c r="AQ265" s="577"/>
      <c r="AR265" s="577"/>
      <c r="AS265" s="577"/>
      <c r="AT265" s="220" t="str">
        <f>IFERROR(VLOOKUP(Table_NFI[[#This Row],[Location]],CL,2,0),"")</f>
        <v>MMR015CMP232</v>
      </c>
      <c r="AU265" s="197"/>
    </row>
    <row r="266" spans="2:47" x14ac:dyDescent="0.25">
      <c r="B266" s="575">
        <v>43228</v>
      </c>
      <c r="C266" s="575" t="str">
        <f>MONTH(Table_NFI[[#This Row],[Distribution Date]]) &amp; "/" &amp; YEAR(Table_NFI[[#This Row],[Distribution Date]])</f>
        <v>5/2018</v>
      </c>
      <c r="D266" s="715" t="s">
        <v>1474</v>
      </c>
      <c r="E266" s="715"/>
      <c r="F266" s="715" t="s">
        <v>1321</v>
      </c>
      <c r="G266" s="715" t="s">
        <v>297</v>
      </c>
      <c r="H266" s="715" t="s">
        <v>759</v>
      </c>
      <c r="I266" s="715">
        <v>1</v>
      </c>
      <c r="J266" s="715"/>
      <c r="K266" s="576"/>
      <c r="L266" s="715"/>
      <c r="M266" s="715"/>
      <c r="N266" s="715"/>
      <c r="O266" s="715"/>
      <c r="P266" s="715"/>
      <c r="Q266" s="715"/>
      <c r="R266" s="576"/>
      <c r="S266" s="715"/>
      <c r="T266" s="715"/>
      <c r="U266" s="576"/>
      <c r="V266" s="576"/>
      <c r="W266" s="576"/>
      <c r="X266" s="576"/>
      <c r="Y266" s="715"/>
      <c r="Z266" s="576"/>
      <c r="AA266" s="576"/>
      <c r="AB266" s="576"/>
      <c r="AC266" s="577" t="e">
        <f>IF(NFI_Expiration=1,IF(#REF!&lt;VLOOKUP(L$5,NFI,5,0),1,0)*Table_NFI[[#This Row],[NFI Core Kit]],Table_NFI[NFI Core Kit])</f>
        <v>#REF!</v>
      </c>
      <c r="AD266" s="577" t="e">
        <f>IF(NFI_Expiration=1,IF(#REF!&lt;VLOOKUP(M$5,NFI,5,0),1,0)*Table_NFI[[#This Row],[Sanitary Kit]],Table_NFI[Sanitary Kit])</f>
        <v>#REF!</v>
      </c>
      <c r="AE266" s="577" t="e">
        <f>IF(NFI_Expiration=1,IF(#REF!&lt;VLOOKUP(N$5,NFI,5,0),1,0)*Table_NFI[[#This Row],[Mosquito net]],Table_NFI[Mosquito net])</f>
        <v>#REF!</v>
      </c>
      <c r="AF266" s="577" t="e">
        <f>IF(NFI_Expiration=1,IF(#REF!&lt;VLOOKUP(O$5,NFI,5,0),1,0)*Table_NFI[[#This Row],[Tarpaulin]],Table_NFI[[#This Row],[Tarpaulin]])</f>
        <v>#REF!</v>
      </c>
      <c r="AG266" s="577" t="e">
        <f>IF(NFI_Expiration=1,IF(#REF!&lt;VLOOKUP(P$5,NFI,5,0),1,0)*Table_NFI[[#This Row],[Blanket]],Table_NFI[[#This Row],[Blanket]])</f>
        <v>#REF!</v>
      </c>
      <c r="AH266" s="577" t="e">
        <f>IF(NFI_Expiration=1,IF(#REF!&lt;VLOOKUP(Q$5,NFI,5,0),1,0)*Table_NFI[[#This Row],[Kitchen Set]],Table_NFI[Kitchen Set])</f>
        <v>#REF!</v>
      </c>
      <c r="AI266" s="577" t="e">
        <f>IF(NFI_Expiration=1,IF(#REF!&lt;VLOOKUP(R$5,NFI,5,0),1,0)*Table_NFI[[#This Row],[Clothes Kit]],Table_NFI[Clothes Kit])</f>
        <v>#REF!</v>
      </c>
      <c r="AJ266" s="577" t="e">
        <f>IF(NFI_Expiration=1,IF(#REF!&lt;VLOOKUP(S$5,NFI,5,0),1,0)*Table_NFI[[#This Row],[Plastic Bucket]],Table_NFI[Plastic Bucket])</f>
        <v>#REF!</v>
      </c>
      <c r="AK266" s="577" t="e">
        <f>IF(NFI_Expiration=1,IF(#REF!&lt;VLOOKUP(T$5,NFI,5,0),1,0)*Table_NFI[[#This Row],[Plastic Mat]],Table_NFI[Plastic Mat])*IF(Table_NFI[[#This Row],[Distribution Date]]&gt;"2014-04-01",1,2.5)</f>
        <v>#REF!</v>
      </c>
      <c r="AL266" s="577" t="e">
        <f>IF(NFI_Expiration=1,IF(#REF!&lt;VLOOKUP(U$5,NFI,5,0),1,0)*Table_NFI[[#This Row],[Winter Clothes Adult]],Table_NFI[Winter Clothes Adult])</f>
        <v>#REF!</v>
      </c>
      <c r="AM266" s="577"/>
      <c r="AN266" s="577"/>
      <c r="AO266" s="577"/>
      <c r="AP266" s="577">
        <f>IF(Table_NFI[[#This Row],[Winter Clothes Adult]]+Table_NFI[[#This Row],[Winter Clothes Children]]+Table_NFI[[#This Row],[Winter Items Other]]+Table_NFI[[#This Row],[Winter Blanket]]&gt;0,1,0)</f>
        <v>0</v>
      </c>
      <c r="AQ266" s="577"/>
      <c r="AR266" s="577"/>
      <c r="AS266" s="577"/>
      <c r="AT266" s="220" t="str">
        <f>IFERROR(VLOOKUP(Table_NFI[[#This Row],[Location]],CL,2,0),"")</f>
        <v>MMR015CMP014</v>
      </c>
      <c r="AU266" s="197"/>
    </row>
    <row r="267" spans="2:47" x14ac:dyDescent="0.25">
      <c r="B267" s="575">
        <v>43228</v>
      </c>
      <c r="C267" s="575" t="str">
        <f>MONTH(Table_NFI[[#This Row],[Distribution Date]]) &amp; "/" &amp; YEAR(Table_NFI[[#This Row],[Distribution Date]])</f>
        <v>5/2018</v>
      </c>
      <c r="D267" s="715" t="s">
        <v>1474</v>
      </c>
      <c r="E267" s="715"/>
      <c r="F267" s="715" t="s">
        <v>1321</v>
      </c>
      <c r="G267" s="715" t="s">
        <v>297</v>
      </c>
      <c r="H267" s="715" t="s">
        <v>1523</v>
      </c>
      <c r="I267" s="715">
        <v>1</v>
      </c>
      <c r="J267" s="715"/>
      <c r="K267" s="576"/>
      <c r="L267" s="715"/>
      <c r="M267" s="715"/>
      <c r="N267" s="715"/>
      <c r="O267" s="715"/>
      <c r="P267" s="715"/>
      <c r="Q267" s="715"/>
      <c r="R267" s="576"/>
      <c r="S267" s="715"/>
      <c r="T267" s="715"/>
      <c r="U267" s="576"/>
      <c r="V267" s="576"/>
      <c r="W267" s="576"/>
      <c r="X267" s="576"/>
      <c r="Y267" s="715"/>
      <c r="Z267" s="576"/>
      <c r="AA267" s="576"/>
      <c r="AB267" s="576"/>
      <c r="AC267" s="577" t="e">
        <f>IF(NFI_Expiration=1,IF(#REF!&lt;VLOOKUP(L$5,NFI,5,0),1,0)*Table_NFI[[#This Row],[NFI Core Kit]],Table_NFI[NFI Core Kit])</f>
        <v>#REF!</v>
      </c>
      <c r="AD267" s="577" t="e">
        <f>IF(NFI_Expiration=1,IF(#REF!&lt;VLOOKUP(M$5,NFI,5,0),1,0)*Table_NFI[[#This Row],[Sanitary Kit]],Table_NFI[Sanitary Kit])</f>
        <v>#REF!</v>
      </c>
      <c r="AE267" s="577" t="e">
        <f>IF(NFI_Expiration=1,IF(#REF!&lt;VLOOKUP(N$5,NFI,5,0),1,0)*Table_NFI[[#This Row],[Mosquito net]],Table_NFI[Mosquito net])</f>
        <v>#REF!</v>
      </c>
      <c r="AF267" s="577" t="e">
        <f>IF(NFI_Expiration=1,IF(#REF!&lt;VLOOKUP(O$5,NFI,5,0),1,0)*Table_NFI[[#This Row],[Tarpaulin]],Table_NFI[[#This Row],[Tarpaulin]])</f>
        <v>#REF!</v>
      </c>
      <c r="AG267" s="577" t="e">
        <f>IF(NFI_Expiration=1,IF(#REF!&lt;VLOOKUP(P$5,NFI,5,0),1,0)*Table_NFI[[#This Row],[Blanket]],Table_NFI[[#This Row],[Blanket]])</f>
        <v>#REF!</v>
      </c>
      <c r="AH267" s="577" t="e">
        <f>IF(NFI_Expiration=1,IF(#REF!&lt;VLOOKUP(Q$5,NFI,5,0),1,0)*Table_NFI[[#This Row],[Kitchen Set]],Table_NFI[Kitchen Set])</f>
        <v>#REF!</v>
      </c>
      <c r="AI267" s="577" t="e">
        <f>IF(NFI_Expiration=1,IF(#REF!&lt;VLOOKUP(R$5,NFI,5,0),1,0)*Table_NFI[[#This Row],[Clothes Kit]],Table_NFI[Clothes Kit])</f>
        <v>#REF!</v>
      </c>
      <c r="AJ267" s="577" t="e">
        <f>IF(NFI_Expiration=1,IF(#REF!&lt;VLOOKUP(S$5,NFI,5,0),1,0)*Table_NFI[[#This Row],[Plastic Bucket]],Table_NFI[Plastic Bucket])</f>
        <v>#REF!</v>
      </c>
      <c r="AK267" s="577" t="e">
        <f>IF(NFI_Expiration=1,IF(#REF!&lt;VLOOKUP(T$5,NFI,5,0),1,0)*Table_NFI[[#This Row],[Plastic Mat]],Table_NFI[Plastic Mat])*IF(Table_NFI[[#This Row],[Distribution Date]]&gt;"2014-04-01",1,2.5)</f>
        <v>#REF!</v>
      </c>
      <c r="AL267" s="577" t="e">
        <f>IF(NFI_Expiration=1,IF(#REF!&lt;VLOOKUP(U$5,NFI,5,0),1,0)*Table_NFI[[#This Row],[Winter Clothes Adult]],Table_NFI[Winter Clothes Adult])</f>
        <v>#REF!</v>
      </c>
      <c r="AM267" s="577"/>
      <c r="AN267" s="577"/>
      <c r="AO267" s="577"/>
      <c r="AP267" s="577">
        <f>IF(Table_NFI[[#This Row],[Winter Clothes Adult]]+Table_NFI[[#This Row],[Winter Clothes Children]]+Table_NFI[[#This Row],[Winter Items Other]]+Table_NFI[[#This Row],[Winter Blanket]]&gt;0,1,0)</f>
        <v>0</v>
      </c>
      <c r="AQ267" s="577"/>
      <c r="AR267" s="577"/>
      <c r="AS267" s="577"/>
      <c r="AT267" s="220" t="str">
        <f>IFERROR(VLOOKUP(Table_NFI[[#This Row],[Location]],CL,2,0),"")</f>
        <v/>
      </c>
      <c r="AU267" s="197"/>
    </row>
    <row r="268" spans="2:47" x14ac:dyDescent="0.25">
      <c r="B268" s="575">
        <v>43228</v>
      </c>
      <c r="C268" s="575" t="str">
        <f>MONTH(Table_NFI[[#This Row],[Distribution Date]]) &amp; "/" &amp; YEAR(Table_NFI[[#This Row],[Distribution Date]])</f>
        <v>5/2018</v>
      </c>
      <c r="D268" s="715" t="s">
        <v>1474</v>
      </c>
      <c r="E268" s="715"/>
      <c r="F268" s="715" t="s">
        <v>1321</v>
      </c>
      <c r="G268" s="715" t="s">
        <v>297</v>
      </c>
      <c r="H268" s="715" t="s">
        <v>1523</v>
      </c>
      <c r="I268" s="715">
        <v>1</v>
      </c>
      <c r="J268" s="715"/>
      <c r="K268" s="576"/>
      <c r="L268" s="715"/>
      <c r="M268" s="715"/>
      <c r="N268" s="715"/>
      <c r="O268" s="715"/>
      <c r="P268" s="715"/>
      <c r="Q268" s="715"/>
      <c r="R268" s="576"/>
      <c r="S268" s="715"/>
      <c r="T268" s="715"/>
      <c r="U268" s="576"/>
      <c r="V268" s="576"/>
      <c r="W268" s="576"/>
      <c r="X268" s="576"/>
      <c r="Y268" s="715"/>
      <c r="Z268" s="576"/>
      <c r="AA268" s="576"/>
      <c r="AB268" s="576"/>
      <c r="AC268" s="577" t="e">
        <f>IF(NFI_Expiration=1,IF(#REF!&lt;VLOOKUP(L$5,NFI,5,0),1,0)*Table_NFI[[#This Row],[NFI Core Kit]],Table_NFI[NFI Core Kit])</f>
        <v>#REF!</v>
      </c>
      <c r="AD268" s="577" t="e">
        <f>IF(NFI_Expiration=1,IF(#REF!&lt;VLOOKUP(M$5,NFI,5,0),1,0)*Table_NFI[[#This Row],[Sanitary Kit]],Table_NFI[Sanitary Kit])</f>
        <v>#REF!</v>
      </c>
      <c r="AE268" s="577" t="e">
        <f>IF(NFI_Expiration=1,IF(#REF!&lt;VLOOKUP(N$5,NFI,5,0),1,0)*Table_NFI[[#This Row],[Mosquito net]],Table_NFI[Mosquito net])</f>
        <v>#REF!</v>
      </c>
      <c r="AF268" s="577" t="e">
        <f>IF(NFI_Expiration=1,IF(#REF!&lt;VLOOKUP(O$5,NFI,5,0),1,0)*Table_NFI[[#This Row],[Tarpaulin]],Table_NFI[[#This Row],[Tarpaulin]])</f>
        <v>#REF!</v>
      </c>
      <c r="AG268" s="577" t="e">
        <f>IF(NFI_Expiration=1,IF(#REF!&lt;VLOOKUP(P$5,NFI,5,0),1,0)*Table_NFI[[#This Row],[Blanket]],Table_NFI[[#This Row],[Blanket]])</f>
        <v>#REF!</v>
      </c>
      <c r="AH268" s="577" t="e">
        <f>IF(NFI_Expiration=1,IF(#REF!&lt;VLOOKUP(Q$5,NFI,5,0),1,0)*Table_NFI[[#This Row],[Kitchen Set]],Table_NFI[Kitchen Set])</f>
        <v>#REF!</v>
      </c>
      <c r="AI268" s="577" t="e">
        <f>IF(NFI_Expiration=1,IF(#REF!&lt;VLOOKUP(R$5,NFI,5,0),1,0)*Table_NFI[[#This Row],[Clothes Kit]],Table_NFI[Clothes Kit])</f>
        <v>#REF!</v>
      </c>
      <c r="AJ268" s="577" t="e">
        <f>IF(NFI_Expiration=1,IF(#REF!&lt;VLOOKUP(S$5,NFI,5,0),1,0)*Table_NFI[[#This Row],[Plastic Bucket]],Table_NFI[Plastic Bucket])</f>
        <v>#REF!</v>
      </c>
      <c r="AK268" s="577" t="e">
        <f>IF(NFI_Expiration=1,IF(#REF!&lt;VLOOKUP(T$5,NFI,5,0),1,0)*Table_NFI[[#This Row],[Plastic Mat]],Table_NFI[Plastic Mat])*IF(Table_NFI[[#This Row],[Distribution Date]]&gt;"2014-04-01",1,2.5)</f>
        <v>#REF!</v>
      </c>
      <c r="AL268" s="577" t="e">
        <f>IF(NFI_Expiration=1,IF(#REF!&lt;VLOOKUP(U$5,NFI,5,0),1,0)*Table_NFI[[#This Row],[Winter Clothes Adult]],Table_NFI[Winter Clothes Adult])</f>
        <v>#REF!</v>
      </c>
      <c r="AM268" s="577"/>
      <c r="AN268" s="577"/>
      <c r="AO268" s="577"/>
      <c r="AP268" s="577">
        <f>IF(Table_NFI[[#This Row],[Winter Clothes Adult]]+Table_NFI[[#This Row],[Winter Clothes Children]]+Table_NFI[[#This Row],[Winter Items Other]]+Table_NFI[[#This Row],[Winter Blanket]]&gt;0,1,0)</f>
        <v>0</v>
      </c>
      <c r="AQ268" s="577"/>
      <c r="AR268" s="577"/>
      <c r="AS268" s="577"/>
      <c r="AT268" s="220" t="str">
        <f>IFERROR(VLOOKUP(Table_NFI[[#This Row],[Location]],CL,2,0),"")</f>
        <v/>
      </c>
      <c r="AU268" s="197"/>
    </row>
    <row r="269" spans="2:47" x14ac:dyDescent="0.25">
      <c r="B269" s="575">
        <v>43228</v>
      </c>
      <c r="C269" s="575" t="str">
        <f>MONTH(Table_NFI[[#This Row],[Distribution Date]]) &amp; "/" &amp; YEAR(Table_NFI[[#This Row],[Distribution Date]])</f>
        <v>5/2018</v>
      </c>
      <c r="D269" s="715" t="s">
        <v>1474</v>
      </c>
      <c r="E269" s="715"/>
      <c r="F269" s="715" t="s">
        <v>378</v>
      </c>
      <c r="G269" s="715" t="s">
        <v>151</v>
      </c>
      <c r="H269" s="715" t="s">
        <v>1497</v>
      </c>
      <c r="I269" s="715">
        <v>1</v>
      </c>
      <c r="J269" s="715"/>
      <c r="K269" s="576"/>
      <c r="L269" s="715"/>
      <c r="M269" s="715"/>
      <c r="N269" s="715"/>
      <c r="O269" s="715"/>
      <c r="P269" s="715"/>
      <c r="Q269" s="715"/>
      <c r="R269" s="576"/>
      <c r="S269" s="715"/>
      <c r="T269" s="715"/>
      <c r="U269" s="576"/>
      <c r="V269" s="576"/>
      <c r="W269" s="576"/>
      <c r="X269" s="576"/>
      <c r="Y269" s="715"/>
      <c r="Z269" s="576"/>
      <c r="AA269" s="576"/>
      <c r="AB269" s="576"/>
      <c r="AC269" s="577" t="e">
        <f>IF(NFI_Expiration=1,IF(#REF!&lt;VLOOKUP(L$5,NFI,5,0),1,0)*Table_NFI[[#This Row],[NFI Core Kit]],Table_NFI[NFI Core Kit])</f>
        <v>#REF!</v>
      </c>
      <c r="AD269" s="577" t="e">
        <f>IF(NFI_Expiration=1,IF(#REF!&lt;VLOOKUP(M$5,NFI,5,0),1,0)*Table_NFI[[#This Row],[Sanitary Kit]],Table_NFI[Sanitary Kit])</f>
        <v>#REF!</v>
      </c>
      <c r="AE269" s="577" t="e">
        <f>IF(NFI_Expiration=1,IF(#REF!&lt;VLOOKUP(N$5,NFI,5,0),1,0)*Table_NFI[[#This Row],[Mosquito net]],Table_NFI[Mosquito net])</f>
        <v>#REF!</v>
      </c>
      <c r="AF269" s="577" t="e">
        <f>IF(NFI_Expiration=1,IF(#REF!&lt;VLOOKUP(O$5,NFI,5,0),1,0)*Table_NFI[[#This Row],[Tarpaulin]],Table_NFI[[#This Row],[Tarpaulin]])</f>
        <v>#REF!</v>
      </c>
      <c r="AG269" s="577" t="e">
        <f>IF(NFI_Expiration=1,IF(#REF!&lt;VLOOKUP(P$5,NFI,5,0),1,0)*Table_NFI[[#This Row],[Blanket]],Table_NFI[[#This Row],[Blanket]])</f>
        <v>#REF!</v>
      </c>
      <c r="AH269" s="577" t="e">
        <f>IF(NFI_Expiration=1,IF(#REF!&lt;VLOOKUP(Q$5,NFI,5,0),1,0)*Table_NFI[[#This Row],[Kitchen Set]],Table_NFI[Kitchen Set])</f>
        <v>#REF!</v>
      </c>
      <c r="AI269" s="577" t="e">
        <f>IF(NFI_Expiration=1,IF(#REF!&lt;VLOOKUP(R$5,NFI,5,0),1,0)*Table_NFI[[#This Row],[Clothes Kit]],Table_NFI[Clothes Kit])</f>
        <v>#REF!</v>
      </c>
      <c r="AJ269" s="577" t="e">
        <f>IF(NFI_Expiration=1,IF(#REF!&lt;VLOOKUP(S$5,NFI,5,0),1,0)*Table_NFI[[#This Row],[Plastic Bucket]],Table_NFI[Plastic Bucket])</f>
        <v>#REF!</v>
      </c>
      <c r="AK269" s="577" t="e">
        <f>IF(NFI_Expiration=1,IF(#REF!&lt;VLOOKUP(T$5,NFI,5,0),1,0)*Table_NFI[[#This Row],[Plastic Mat]],Table_NFI[Plastic Mat])*IF(Table_NFI[[#This Row],[Distribution Date]]&gt;"2014-04-01",1,2.5)</f>
        <v>#REF!</v>
      </c>
      <c r="AL269" s="577" t="e">
        <f>IF(NFI_Expiration=1,IF(#REF!&lt;VLOOKUP(U$5,NFI,5,0),1,0)*Table_NFI[[#This Row],[Winter Clothes Adult]],Table_NFI[Winter Clothes Adult])</f>
        <v>#REF!</v>
      </c>
      <c r="AM269" s="577"/>
      <c r="AN269" s="577"/>
      <c r="AO269" s="577"/>
      <c r="AP269" s="577">
        <f>IF(Table_NFI[[#This Row],[Winter Clothes Adult]]+Table_NFI[[#This Row],[Winter Clothes Children]]+Table_NFI[[#This Row],[Winter Items Other]]+Table_NFI[[#This Row],[Winter Blanket]]&gt;0,1,0)</f>
        <v>0</v>
      </c>
      <c r="AQ269" s="577"/>
      <c r="AR269" s="577"/>
      <c r="AS269" s="577"/>
      <c r="AT269" s="220" t="str">
        <f>IFERROR(VLOOKUP(Table_NFI[[#This Row],[Location]],CL,2,0),"")</f>
        <v/>
      </c>
      <c r="AU269" s="197"/>
    </row>
    <row r="270" spans="2:47" x14ac:dyDescent="0.25">
      <c r="B270" s="575">
        <v>43228</v>
      </c>
      <c r="C270" s="575" t="str">
        <f>MONTH(Table_NFI[[#This Row],[Distribution Date]]) &amp; "/" &amp; YEAR(Table_NFI[[#This Row],[Distribution Date]])</f>
        <v>5/2018</v>
      </c>
      <c r="D270" s="715" t="s">
        <v>1474</v>
      </c>
      <c r="E270" s="715"/>
      <c r="F270" s="715" t="s">
        <v>378</v>
      </c>
      <c r="G270" s="715" t="s">
        <v>151</v>
      </c>
      <c r="H270" s="715" t="s">
        <v>1497</v>
      </c>
      <c r="I270" s="715">
        <v>1</v>
      </c>
      <c r="J270" s="715"/>
      <c r="K270" s="576"/>
      <c r="L270" s="715"/>
      <c r="M270" s="715"/>
      <c r="N270" s="715"/>
      <c r="O270" s="715"/>
      <c r="P270" s="715"/>
      <c r="Q270" s="715"/>
      <c r="R270" s="576"/>
      <c r="S270" s="715"/>
      <c r="T270" s="715"/>
      <c r="U270" s="576"/>
      <c r="V270" s="576"/>
      <c r="W270" s="576"/>
      <c r="X270" s="576"/>
      <c r="Y270" s="715"/>
      <c r="Z270" s="576"/>
      <c r="AA270" s="576"/>
      <c r="AB270" s="576"/>
      <c r="AC270" s="577" t="e">
        <f>IF(NFI_Expiration=1,IF(#REF!&lt;VLOOKUP(L$5,NFI,5,0),1,0)*Table_NFI[[#This Row],[NFI Core Kit]],Table_NFI[NFI Core Kit])</f>
        <v>#REF!</v>
      </c>
      <c r="AD270" s="577" t="e">
        <f>IF(NFI_Expiration=1,IF(#REF!&lt;VLOOKUP(M$5,NFI,5,0),1,0)*Table_NFI[[#This Row],[Sanitary Kit]],Table_NFI[Sanitary Kit])</f>
        <v>#REF!</v>
      </c>
      <c r="AE270" s="577" t="e">
        <f>IF(NFI_Expiration=1,IF(#REF!&lt;VLOOKUP(N$5,NFI,5,0),1,0)*Table_NFI[[#This Row],[Mosquito net]],Table_NFI[Mosquito net])</f>
        <v>#REF!</v>
      </c>
      <c r="AF270" s="577" t="e">
        <f>IF(NFI_Expiration=1,IF(#REF!&lt;VLOOKUP(O$5,NFI,5,0),1,0)*Table_NFI[[#This Row],[Tarpaulin]],Table_NFI[[#This Row],[Tarpaulin]])</f>
        <v>#REF!</v>
      </c>
      <c r="AG270" s="577" t="e">
        <f>IF(NFI_Expiration=1,IF(#REF!&lt;VLOOKUP(P$5,NFI,5,0),1,0)*Table_NFI[[#This Row],[Blanket]],Table_NFI[[#This Row],[Blanket]])</f>
        <v>#REF!</v>
      </c>
      <c r="AH270" s="577" t="e">
        <f>IF(NFI_Expiration=1,IF(#REF!&lt;VLOOKUP(Q$5,NFI,5,0),1,0)*Table_NFI[[#This Row],[Kitchen Set]],Table_NFI[Kitchen Set])</f>
        <v>#REF!</v>
      </c>
      <c r="AI270" s="577" t="e">
        <f>IF(NFI_Expiration=1,IF(#REF!&lt;VLOOKUP(R$5,NFI,5,0),1,0)*Table_NFI[[#This Row],[Clothes Kit]],Table_NFI[Clothes Kit])</f>
        <v>#REF!</v>
      </c>
      <c r="AJ270" s="577" t="e">
        <f>IF(NFI_Expiration=1,IF(#REF!&lt;VLOOKUP(S$5,NFI,5,0),1,0)*Table_NFI[[#This Row],[Plastic Bucket]],Table_NFI[Plastic Bucket])</f>
        <v>#REF!</v>
      </c>
      <c r="AK270" s="577" t="e">
        <f>IF(NFI_Expiration=1,IF(#REF!&lt;VLOOKUP(T$5,NFI,5,0),1,0)*Table_NFI[[#This Row],[Plastic Mat]],Table_NFI[Plastic Mat])*IF(Table_NFI[[#This Row],[Distribution Date]]&gt;"2014-04-01",1,2.5)</f>
        <v>#REF!</v>
      </c>
      <c r="AL270" s="577" t="e">
        <f>IF(NFI_Expiration=1,IF(#REF!&lt;VLOOKUP(U$5,NFI,5,0),1,0)*Table_NFI[[#This Row],[Winter Clothes Adult]],Table_NFI[Winter Clothes Adult])</f>
        <v>#REF!</v>
      </c>
      <c r="AM270" s="577"/>
      <c r="AN270" s="577"/>
      <c r="AO270" s="577"/>
      <c r="AP270" s="577">
        <f>IF(Table_NFI[[#This Row],[Winter Clothes Adult]]+Table_NFI[[#This Row],[Winter Clothes Children]]+Table_NFI[[#This Row],[Winter Items Other]]+Table_NFI[[#This Row],[Winter Blanket]]&gt;0,1,0)</f>
        <v>0</v>
      </c>
      <c r="AQ270" s="577"/>
      <c r="AR270" s="577"/>
      <c r="AS270" s="577"/>
      <c r="AT270" s="220" t="str">
        <f>IFERROR(VLOOKUP(Table_NFI[[#This Row],[Location]],CL,2,0),"")</f>
        <v/>
      </c>
      <c r="AU270" s="197"/>
    </row>
    <row r="271" spans="2:47" x14ac:dyDescent="0.25">
      <c r="B271" s="575">
        <v>43228</v>
      </c>
      <c r="C271" s="575" t="str">
        <f>MONTH(Table_NFI[[#This Row],[Distribution Date]]) &amp; "/" &amp; YEAR(Table_NFI[[#This Row],[Distribution Date]])</f>
        <v>5/2018</v>
      </c>
      <c r="D271" s="715" t="s">
        <v>1474</v>
      </c>
      <c r="E271" s="715"/>
      <c r="F271" s="715" t="s">
        <v>1321</v>
      </c>
      <c r="G271" s="715" t="s">
        <v>297</v>
      </c>
      <c r="H271" s="715" t="s">
        <v>759</v>
      </c>
      <c r="I271" s="715"/>
      <c r="J271" s="715"/>
      <c r="K271" s="576"/>
      <c r="L271" s="715">
        <v>1</v>
      </c>
      <c r="M271" s="715"/>
      <c r="N271" s="715"/>
      <c r="O271" s="715"/>
      <c r="P271" s="715"/>
      <c r="Q271" s="715"/>
      <c r="R271" s="576"/>
      <c r="S271" s="715"/>
      <c r="T271" s="715"/>
      <c r="U271" s="576"/>
      <c r="V271" s="576"/>
      <c r="W271" s="576"/>
      <c r="X271" s="576"/>
      <c r="Y271" s="715"/>
      <c r="Z271" s="576"/>
      <c r="AA271" s="576"/>
      <c r="AB271" s="576"/>
      <c r="AC271" s="577" t="e">
        <f>IF(NFI_Expiration=1,IF(#REF!&lt;VLOOKUP(L$5,NFI,5,0),1,0)*Table_NFI[[#This Row],[NFI Core Kit]],Table_NFI[NFI Core Kit])</f>
        <v>#REF!</v>
      </c>
      <c r="AD271" s="577" t="e">
        <f>IF(NFI_Expiration=1,IF(#REF!&lt;VLOOKUP(M$5,NFI,5,0),1,0)*Table_NFI[[#This Row],[Sanitary Kit]],Table_NFI[Sanitary Kit])</f>
        <v>#REF!</v>
      </c>
      <c r="AE271" s="577" t="e">
        <f>IF(NFI_Expiration=1,IF(#REF!&lt;VLOOKUP(N$5,NFI,5,0),1,0)*Table_NFI[[#This Row],[Mosquito net]],Table_NFI[Mosquito net])</f>
        <v>#REF!</v>
      </c>
      <c r="AF271" s="577" t="e">
        <f>IF(NFI_Expiration=1,IF(#REF!&lt;VLOOKUP(O$5,NFI,5,0),1,0)*Table_NFI[[#This Row],[Tarpaulin]],Table_NFI[[#This Row],[Tarpaulin]])</f>
        <v>#REF!</v>
      </c>
      <c r="AG271" s="577" t="e">
        <f>IF(NFI_Expiration=1,IF(#REF!&lt;VLOOKUP(P$5,NFI,5,0),1,0)*Table_NFI[[#This Row],[Blanket]],Table_NFI[[#This Row],[Blanket]])</f>
        <v>#REF!</v>
      </c>
      <c r="AH271" s="577" t="e">
        <f>IF(NFI_Expiration=1,IF(#REF!&lt;VLOOKUP(Q$5,NFI,5,0),1,0)*Table_NFI[[#This Row],[Kitchen Set]],Table_NFI[Kitchen Set])</f>
        <v>#REF!</v>
      </c>
      <c r="AI271" s="577" t="e">
        <f>IF(NFI_Expiration=1,IF(#REF!&lt;VLOOKUP(R$5,NFI,5,0),1,0)*Table_NFI[[#This Row],[Clothes Kit]],Table_NFI[Clothes Kit])</f>
        <v>#REF!</v>
      </c>
      <c r="AJ271" s="577" t="e">
        <f>IF(NFI_Expiration=1,IF(#REF!&lt;VLOOKUP(S$5,NFI,5,0),1,0)*Table_NFI[[#This Row],[Plastic Bucket]],Table_NFI[Plastic Bucket])</f>
        <v>#REF!</v>
      </c>
      <c r="AK271" s="577" t="e">
        <f>IF(NFI_Expiration=1,IF(#REF!&lt;VLOOKUP(T$5,NFI,5,0),1,0)*Table_NFI[[#This Row],[Plastic Mat]],Table_NFI[Plastic Mat])*IF(Table_NFI[[#This Row],[Distribution Date]]&gt;"2014-04-01",1,2.5)</f>
        <v>#REF!</v>
      </c>
      <c r="AL271" s="577" t="e">
        <f>IF(NFI_Expiration=1,IF(#REF!&lt;VLOOKUP(U$5,NFI,5,0),1,0)*Table_NFI[[#This Row],[Winter Clothes Adult]],Table_NFI[Winter Clothes Adult])</f>
        <v>#REF!</v>
      </c>
      <c r="AM271" s="577"/>
      <c r="AN271" s="577"/>
      <c r="AO271" s="577"/>
      <c r="AP271" s="577">
        <f>IF(Table_NFI[[#This Row],[Winter Clothes Adult]]+Table_NFI[[#This Row],[Winter Clothes Children]]+Table_NFI[[#This Row],[Winter Items Other]]+Table_NFI[[#This Row],[Winter Blanket]]&gt;0,1,0)</f>
        <v>0</v>
      </c>
      <c r="AQ271" s="577"/>
      <c r="AR271" s="577"/>
      <c r="AS271" s="577"/>
      <c r="AT271" s="220" t="str">
        <f>IFERROR(VLOOKUP(Table_NFI[[#This Row],[Location]],CL,2,0),"")</f>
        <v>MMR015CMP014</v>
      </c>
      <c r="AU271" s="197"/>
    </row>
    <row r="272" spans="2:47" x14ac:dyDescent="0.25">
      <c r="B272" s="575">
        <v>43228</v>
      </c>
      <c r="C272" s="575" t="str">
        <f>MONTH(Table_NFI[[#This Row],[Distribution Date]]) &amp; "/" &amp; YEAR(Table_NFI[[#This Row],[Distribution Date]])</f>
        <v>5/2018</v>
      </c>
      <c r="D272" s="715" t="s">
        <v>1474</v>
      </c>
      <c r="E272" s="715"/>
      <c r="F272" s="715" t="s">
        <v>1321</v>
      </c>
      <c r="G272" s="715" t="s">
        <v>297</v>
      </c>
      <c r="H272" s="715" t="s">
        <v>1192</v>
      </c>
      <c r="I272" s="715"/>
      <c r="J272" s="715"/>
      <c r="K272" s="576"/>
      <c r="L272" s="715">
        <v>1</v>
      </c>
      <c r="M272" s="715"/>
      <c r="N272" s="715"/>
      <c r="O272" s="715"/>
      <c r="P272" s="715"/>
      <c r="Q272" s="715"/>
      <c r="R272" s="576"/>
      <c r="S272" s="715"/>
      <c r="T272" s="715"/>
      <c r="U272" s="576"/>
      <c r="V272" s="576"/>
      <c r="W272" s="576"/>
      <c r="X272" s="576"/>
      <c r="Y272" s="715"/>
      <c r="Z272" s="576"/>
      <c r="AA272" s="576"/>
      <c r="AB272" s="576"/>
      <c r="AC272" s="577" t="e">
        <f>IF(NFI_Expiration=1,IF(#REF!&lt;VLOOKUP(L$5,NFI,5,0),1,0)*Table_NFI[[#This Row],[NFI Core Kit]],Table_NFI[NFI Core Kit])</f>
        <v>#REF!</v>
      </c>
      <c r="AD272" s="577" t="e">
        <f>IF(NFI_Expiration=1,IF(#REF!&lt;VLOOKUP(M$5,NFI,5,0),1,0)*Table_NFI[[#This Row],[Sanitary Kit]],Table_NFI[Sanitary Kit])</f>
        <v>#REF!</v>
      </c>
      <c r="AE272" s="577" t="e">
        <f>IF(NFI_Expiration=1,IF(#REF!&lt;VLOOKUP(N$5,NFI,5,0),1,0)*Table_NFI[[#This Row],[Mosquito net]],Table_NFI[Mosquito net])</f>
        <v>#REF!</v>
      </c>
      <c r="AF272" s="577" t="e">
        <f>IF(NFI_Expiration=1,IF(#REF!&lt;VLOOKUP(O$5,NFI,5,0),1,0)*Table_NFI[[#This Row],[Tarpaulin]],Table_NFI[[#This Row],[Tarpaulin]])</f>
        <v>#REF!</v>
      </c>
      <c r="AG272" s="577" t="e">
        <f>IF(NFI_Expiration=1,IF(#REF!&lt;VLOOKUP(P$5,NFI,5,0),1,0)*Table_NFI[[#This Row],[Blanket]],Table_NFI[[#This Row],[Blanket]])</f>
        <v>#REF!</v>
      </c>
      <c r="AH272" s="577" t="e">
        <f>IF(NFI_Expiration=1,IF(#REF!&lt;VLOOKUP(Q$5,NFI,5,0),1,0)*Table_NFI[[#This Row],[Kitchen Set]],Table_NFI[Kitchen Set])</f>
        <v>#REF!</v>
      </c>
      <c r="AI272" s="577" t="e">
        <f>IF(NFI_Expiration=1,IF(#REF!&lt;VLOOKUP(R$5,NFI,5,0),1,0)*Table_NFI[[#This Row],[Clothes Kit]],Table_NFI[Clothes Kit])</f>
        <v>#REF!</v>
      </c>
      <c r="AJ272" s="577" t="e">
        <f>IF(NFI_Expiration=1,IF(#REF!&lt;VLOOKUP(S$5,NFI,5,0),1,0)*Table_NFI[[#This Row],[Plastic Bucket]],Table_NFI[Plastic Bucket])</f>
        <v>#REF!</v>
      </c>
      <c r="AK272" s="577" t="e">
        <f>IF(NFI_Expiration=1,IF(#REF!&lt;VLOOKUP(T$5,NFI,5,0),1,0)*Table_NFI[[#This Row],[Plastic Mat]],Table_NFI[Plastic Mat])*IF(Table_NFI[[#This Row],[Distribution Date]]&gt;"2014-04-01",1,2.5)</f>
        <v>#REF!</v>
      </c>
      <c r="AL272" s="577" t="e">
        <f>IF(NFI_Expiration=1,IF(#REF!&lt;VLOOKUP(U$5,NFI,5,0),1,0)*Table_NFI[[#This Row],[Winter Clothes Adult]],Table_NFI[Winter Clothes Adult])</f>
        <v>#REF!</v>
      </c>
      <c r="AM272" s="577"/>
      <c r="AN272" s="577"/>
      <c r="AO272" s="577"/>
      <c r="AP272" s="577">
        <f>IF(Table_NFI[[#This Row],[Winter Clothes Adult]]+Table_NFI[[#This Row],[Winter Clothes Children]]+Table_NFI[[#This Row],[Winter Items Other]]+Table_NFI[[#This Row],[Winter Blanket]]&gt;0,1,0)</f>
        <v>0</v>
      </c>
      <c r="AQ272" s="577"/>
      <c r="AR272" s="577"/>
      <c r="AS272" s="577"/>
      <c r="AT272" s="220" t="str">
        <f>IFERROR(VLOOKUP(Table_NFI[[#This Row],[Location]],CL,2,0),"")</f>
        <v>MMR015CMP232</v>
      </c>
      <c r="AU272" s="197"/>
    </row>
    <row r="273" spans="2:47" x14ac:dyDescent="0.25">
      <c r="B273" s="575">
        <v>43228</v>
      </c>
      <c r="C273" s="575" t="str">
        <f>MONTH(Table_NFI[[#This Row],[Distribution Date]]) &amp; "/" &amp; YEAR(Table_NFI[[#This Row],[Distribution Date]])</f>
        <v>5/2018</v>
      </c>
      <c r="D273" s="715" t="s">
        <v>1474</v>
      </c>
      <c r="E273" s="715"/>
      <c r="F273" s="715" t="s">
        <v>1321</v>
      </c>
      <c r="G273" s="715" t="s">
        <v>297</v>
      </c>
      <c r="H273" s="715" t="s">
        <v>1523</v>
      </c>
      <c r="I273" s="715"/>
      <c r="J273" s="715"/>
      <c r="K273" s="576"/>
      <c r="L273" s="715">
        <v>1</v>
      </c>
      <c r="M273" s="715"/>
      <c r="N273" s="715"/>
      <c r="O273" s="715"/>
      <c r="P273" s="715"/>
      <c r="Q273" s="715"/>
      <c r="R273" s="576"/>
      <c r="S273" s="715"/>
      <c r="T273" s="715"/>
      <c r="U273" s="576"/>
      <c r="V273" s="576"/>
      <c r="W273" s="576"/>
      <c r="X273" s="576"/>
      <c r="Y273" s="715"/>
      <c r="Z273" s="576"/>
      <c r="AA273" s="576"/>
      <c r="AB273" s="576"/>
      <c r="AC273" s="577" t="e">
        <f>IF(NFI_Expiration=1,IF(#REF!&lt;VLOOKUP(L$5,NFI,5,0),1,0)*Table_NFI[[#This Row],[NFI Core Kit]],Table_NFI[NFI Core Kit])</f>
        <v>#REF!</v>
      </c>
      <c r="AD273" s="577" t="e">
        <f>IF(NFI_Expiration=1,IF(#REF!&lt;VLOOKUP(M$5,NFI,5,0),1,0)*Table_NFI[[#This Row],[Sanitary Kit]],Table_NFI[Sanitary Kit])</f>
        <v>#REF!</v>
      </c>
      <c r="AE273" s="577" t="e">
        <f>IF(NFI_Expiration=1,IF(#REF!&lt;VLOOKUP(N$5,NFI,5,0),1,0)*Table_NFI[[#This Row],[Mosquito net]],Table_NFI[Mosquito net])</f>
        <v>#REF!</v>
      </c>
      <c r="AF273" s="577" t="e">
        <f>IF(NFI_Expiration=1,IF(#REF!&lt;VLOOKUP(O$5,NFI,5,0),1,0)*Table_NFI[[#This Row],[Tarpaulin]],Table_NFI[[#This Row],[Tarpaulin]])</f>
        <v>#REF!</v>
      </c>
      <c r="AG273" s="577" t="e">
        <f>IF(NFI_Expiration=1,IF(#REF!&lt;VLOOKUP(P$5,NFI,5,0),1,0)*Table_NFI[[#This Row],[Blanket]],Table_NFI[[#This Row],[Blanket]])</f>
        <v>#REF!</v>
      </c>
      <c r="AH273" s="577" t="e">
        <f>IF(NFI_Expiration=1,IF(#REF!&lt;VLOOKUP(Q$5,NFI,5,0),1,0)*Table_NFI[[#This Row],[Kitchen Set]],Table_NFI[Kitchen Set])</f>
        <v>#REF!</v>
      </c>
      <c r="AI273" s="577" t="e">
        <f>IF(NFI_Expiration=1,IF(#REF!&lt;VLOOKUP(R$5,NFI,5,0),1,0)*Table_NFI[[#This Row],[Clothes Kit]],Table_NFI[Clothes Kit])</f>
        <v>#REF!</v>
      </c>
      <c r="AJ273" s="577" t="e">
        <f>IF(NFI_Expiration=1,IF(#REF!&lt;VLOOKUP(S$5,NFI,5,0),1,0)*Table_NFI[[#This Row],[Plastic Bucket]],Table_NFI[Plastic Bucket])</f>
        <v>#REF!</v>
      </c>
      <c r="AK273" s="577" t="e">
        <f>IF(NFI_Expiration=1,IF(#REF!&lt;VLOOKUP(T$5,NFI,5,0),1,0)*Table_NFI[[#This Row],[Plastic Mat]],Table_NFI[Plastic Mat])*IF(Table_NFI[[#This Row],[Distribution Date]]&gt;"2014-04-01",1,2.5)</f>
        <v>#REF!</v>
      </c>
      <c r="AL273" s="577" t="e">
        <f>IF(NFI_Expiration=1,IF(#REF!&lt;VLOOKUP(U$5,NFI,5,0),1,0)*Table_NFI[[#This Row],[Winter Clothes Adult]],Table_NFI[Winter Clothes Adult])</f>
        <v>#REF!</v>
      </c>
      <c r="AM273" s="577"/>
      <c r="AN273" s="577"/>
      <c r="AO273" s="577"/>
      <c r="AP273" s="577">
        <f>IF(Table_NFI[[#This Row],[Winter Clothes Adult]]+Table_NFI[[#This Row],[Winter Clothes Children]]+Table_NFI[[#This Row],[Winter Items Other]]+Table_NFI[[#This Row],[Winter Blanket]]&gt;0,1,0)</f>
        <v>0</v>
      </c>
      <c r="AQ273" s="577"/>
      <c r="AR273" s="577"/>
      <c r="AS273" s="577"/>
      <c r="AT273" s="220" t="str">
        <f>IFERROR(VLOOKUP(Table_NFI[[#This Row],[Location]],CL,2,0),"")</f>
        <v/>
      </c>
      <c r="AU273" s="197"/>
    </row>
    <row r="274" spans="2:47" x14ac:dyDescent="0.25">
      <c r="B274" s="575">
        <v>43228</v>
      </c>
      <c r="C274" s="575" t="str">
        <f>MONTH(Table_NFI[[#This Row],[Distribution Date]]) &amp; "/" &amp; YEAR(Table_NFI[[#This Row],[Distribution Date]])</f>
        <v>5/2018</v>
      </c>
      <c r="D274" s="715" t="s">
        <v>1264</v>
      </c>
      <c r="E274" s="715"/>
      <c r="F274" s="715" t="s">
        <v>1321</v>
      </c>
      <c r="G274" s="715" t="s">
        <v>1807</v>
      </c>
      <c r="H274" s="715" t="s">
        <v>1825</v>
      </c>
      <c r="I274" s="715"/>
      <c r="J274" s="715"/>
      <c r="K274" s="576"/>
      <c r="L274" s="715"/>
      <c r="M274" s="715"/>
      <c r="N274" s="715"/>
      <c r="O274" s="715">
        <v>15</v>
      </c>
      <c r="P274" s="715"/>
      <c r="Q274" s="715"/>
      <c r="R274" s="576"/>
      <c r="S274" s="715"/>
      <c r="T274" s="715">
        <v>49</v>
      </c>
      <c r="U274" s="576"/>
      <c r="V274" s="576"/>
      <c r="W274" s="576"/>
      <c r="X274" s="576"/>
      <c r="Y274" s="715"/>
      <c r="Z274" s="576"/>
      <c r="AA274" s="576">
        <v>32</v>
      </c>
      <c r="AB274" s="576"/>
      <c r="AC274" s="577" t="e">
        <f>IF(NFI_Expiration=1,IF(#REF!&lt;VLOOKUP(L$5,NFI,5,0),1,0)*Table_NFI[[#This Row],[NFI Core Kit]],Table_NFI[NFI Core Kit])</f>
        <v>#REF!</v>
      </c>
      <c r="AD274" s="577" t="e">
        <f>IF(NFI_Expiration=1,IF(#REF!&lt;VLOOKUP(M$5,NFI,5,0),1,0)*Table_NFI[[#This Row],[Sanitary Kit]],Table_NFI[Sanitary Kit])</f>
        <v>#REF!</v>
      </c>
      <c r="AE274" s="577" t="e">
        <f>IF(NFI_Expiration=1,IF(#REF!&lt;VLOOKUP(N$5,NFI,5,0),1,0)*Table_NFI[[#This Row],[Mosquito net]],Table_NFI[Mosquito net])</f>
        <v>#REF!</v>
      </c>
      <c r="AF274" s="577" t="e">
        <f>IF(NFI_Expiration=1,IF(#REF!&lt;VLOOKUP(O$5,NFI,5,0),1,0)*Table_NFI[[#This Row],[Tarpaulin]],Table_NFI[[#This Row],[Tarpaulin]])</f>
        <v>#REF!</v>
      </c>
      <c r="AG274" s="577" t="e">
        <f>IF(NFI_Expiration=1,IF(#REF!&lt;VLOOKUP(P$5,NFI,5,0),1,0)*Table_NFI[[#This Row],[Blanket]],Table_NFI[[#This Row],[Blanket]])</f>
        <v>#REF!</v>
      </c>
      <c r="AH274" s="577" t="e">
        <f>IF(NFI_Expiration=1,IF(#REF!&lt;VLOOKUP(Q$5,NFI,5,0),1,0)*Table_NFI[[#This Row],[Kitchen Set]],Table_NFI[Kitchen Set])</f>
        <v>#REF!</v>
      </c>
      <c r="AI274" s="577" t="e">
        <f>IF(NFI_Expiration=1,IF(#REF!&lt;VLOOKUP(R$5,NFI,5,0),1,0)*Table_NFI[[#This Row],[Clothes Kit]],Table_NFI[Clothes Kit])</f>
        <v>#REF!</v>
      </c>
      <c r="AJ274" s="577" t="e">
        <f>IF(NFI_Expiration=1,IF(#REF!&lt;VLOOKUP(S$5,NFI,5,0),1,0)*Table_NFI[[#This Row],[Plastic Bucket]],Table_NFI[Plastic Bucket])</f>
        <v>#REF!</v>
      </c>
      <c r="AK274" s="577" t="e">
        <f>IF(NFI_Expiration=1,IF(#REF!&lt;VLOOKUP(T$5,NFI,5,0),1,0)*Table_NFI[[#This Row],[Plastic Mat]],Table_NFI[Plastic Mat])*IF(Table_NFI[[#This Row],[Distribution Date]]&gt;"2014-04-01",1,2.5)</f>
        <v>#REF!</v>
      </c>
      <c r="AL274" s="577" t="e">
        <f>IF(NFI_Expiration=1,IF(#REF!&lt;VLOOKUP(U$5,NFI,5,0),1,0)*Table_NFI[[#This Row],[Winter Clothes Adult]],Table_NFI[Winter Clothes Adult])</f>
        <v>#REF!</v>
      </c>
      <c r="AM274" s="577"/>
      <c r="AN274" s="577"/>
      <c r="AO274" s="577"/>
      <c r="AP274" s="577">
        <f>IF(Table_NFI[[#This Row],[Winter Clothes Adult]]+Table_NFI[[#This Row],[Winter Clothes Children]]+Table_NFI[[#This Row],[Winter Items Other]]+Table_NFI[[#This Row],[Winter Blanket]]&gt;0,1,0)</f>
        <v>0</v>
      </c>
      <c r="AQ274" s="577"/>
      <c r="AR274" s="577"/>
      <c r="AS274" s="577"/>
      <c r="AT274" s="220" t="str">
        <f>IFERROR(VLOOKUP(Table_NFI[[#This Row],[Location]],CL,2,0),"")</f>
        <v/>
      </c>
      <c r="AU274" s="197"/>
    </row>
    <row r="275" spans="2:47" x14ac:dyDescent="0.25">
      <c r="B275" s="575">
        <v>43228</v>
      </c>
      <c r="C275" s="575" t="str">
        <f>MONTH(Table_NFI[[#This Row],[Distribution Date]]) &amp; "/" &amp; YEAR(Table_NFI[[#This Row],[Distribution Date]])</f>
        <v>5/2018</v>
      </c>
      <c r="D275" s="715" t="s">
        <v>1264</v>
      </c>
      <c r="E275" s="715"/>
      <c r="F275" s="715" t="s">
        <v>1808</v>
      </c>
      <c r="G275" s="722" t="s">
        <v>288</v>
      </c>
      <c r="H275" s="722" t="s">
        <v>1131</v>
      </c>
      <c r="I275" s="715"/>
      <c r="J275" s="715"/>
      <c r="K275" s="576"/>
      <c r="L275" s="715"/>
      <c r="M275" s="715"/>
      <c r="N275" s="715"/>
      <c r="O275" s="715">
        <v>32</v>
      </c>
      <c r="P275" s="715"/>
      <c r="Q275" s="715"/>
      <c r="R275" s="576"/>
      <c r="S275" s="715"/>
      <c r="T275" s="715">
        <v>109</v>
      </c>
      <c r="U275" s="576"/>
      <c r="V275" s="576"/>
      <c r="W275" s="576"/>
      <c r="X275" s="576"/>
      <c r="Y275" s="715"/>
      <c r="Z275" s="576"/>
      <c r="AA275" s="576"/>
      <c r="AB275" s="576"/>
      <c r="AC275" s="577" t="e">
        <f>IF(NFI_Expiration=1,IF(#REF!&lt;VLOOKUP(L$5,NFI,5,0),1,0)*Table_NFI[[#This Row],[NFI Core Kit]],Table_NFI[NFI Core Kit])</f>
        <v>#REF!</v>
      </c>
      <c r="AD275" s="577" t="e">
        <f>IF(NFI_Expiration=1,IF(#REF!&lt;VLOOKUP(M$5,NFI,5,0),1,0)*Table_NFI[[#This Row],[Sanitary Kit]],Table_NFI[Sanitary Kit])</f>
        <v>#REF!</v>
      </c>
      <c r="AE275" s="577" t="e">
        <f>IF(NFI_Expiration=1,IF(#REF!&lt;VLOOKUP(N$5,NFI,5,0),1,0)*Table_NFI[[#This Row],[Mosquito net]],Table_NFI[Mosquito net])</f>
        <v>#REF!</v>
      </c>
      <c r="AF275" s="577" t="e">
        <f>IF(NFI_Expiration=1,IF(#REF!&lt;VLOOKUP(O$5,NFI,5,0),1,0)*Table_NFI[[#This Row],[Tarpaulin]],Table_NFI[[#This Row],[Tarpaulin]])</f>
        <v>#REF!</v>
      </c>
      <c r="AG275" s="577" t="e">
        <f>IF(NFI_Expiration=1,IF(#REF!&lt;VLOOKUP(P$5,NFI,5,0),1,0)*Table_NFI[[#This Row],[Blanket]],Table_NFI[[#This Row],[Blanket]])</f>
        <v>#REF!</v>
      </c>
      <c r="AH275" s="577" t="e">
        <f>IF(NFI_Expiration=1,IF(#REF!&lt;VLOOKUP(Q$5,NFI,5,0),1,0)*Table_NFI[[#This Row],[Kitchen Set]],Table_NFI[Kitchen Set])</f>
        <v>#REF!</v>
      </c>
      <c r="AI275" s="577" t="e">
        <f>IF(NFI_Expiration=1,IF(#REF!&lt;VLOOKUP(R$5,NFI,5,0),1,0)*Table_NFI[[#This Row],[Clothes Kit]],Table_NFI[Clothes Kit])</f>
        <v>#REF!</v>
      </c>
      <c r="AJ275" s="577" t="e">
        <f>IF(NFI_Expiration=1,IF(#REF!&lt;VLOOKUP(S$5,NFI,5,0),1,0)*Table_NFI[[#This Row],[Plastic Bucket]],Table_NFI[Plastic Bucket])</f>
        <v>#REF!</v>
      </c>
      <c r="AK275" s="577" t="e">
        <f>IF(NFI_Expiration=1,IF(#REF!&lt;VLOOKUP(T$5,NFI,5,0),1,0)*Table_NFI[[#This Row],[Plastic Mat]],Table_NFI[Plastic Mat])*IF(Table_NFI[[#This Row],[Distribution Date]]&gt;"2014-04-01",1,2.5)</f>
        <v>#REF!</v>
      </c>
      <c r="AL275" s="577" t="e">
        <f>IF(NFI_Expiration=1,IF(#REF!&lt;VLOOKUP(U$5,NFI,5,0),1,0)*Table_NFI[[#This Row],[Winter Clothes Adult]],Table_NFI[Winter Clothes Adult])</f>
        <v>#REF!</v>
      </c>
      <c r="AM275" s="577"/>
      <c r="AN275" s="577"/>
      <c r="AO275" s="577"/>
      <c r="AP275" s="577">
        <f>IF(Table_NFI[[#This Row],[Winter Clothes Adult]]+Table_NFI[[#This Row],[Winter Clothes Children]]+Table_NFI[[#This Row],[Winter Items Other]]+Table_NFI[[#This Row],[Winter Blanket]]&gt;0,1,0)</f>
        <v>0</v>
      </c>
      <c r="AQ275" s="577"/>
      <c r="AR275" s="577"/>
      <c r="AS275" s="577"/>
      <c r="AT275" s="220" t="str">
        <f>IFERROR(VLOOKUP(Table_NFI[[#This Row],[Location]],CL,2,0),"")</f>
        <v>MMR015CMP224</v>
      </c>
      <c r="AU275" s="197"/>
    </row>
    <row r="276" spans="2:47" x14ac:dyDescent="0.25">
      <c r="B276" s="575">
        <v>43228</v>
      </c>
      <c r="C276" s="575" t="str">
        <f>MONTH(Table_NFI[[#This Row],[Distribution Date]]) &amp; "/" &amp; YEAR(Table_NFI[[#This Row],[Distribution Date]])</f>
        <v>5/2018</v>
      </c>
      <c r="D276" s="715" t="s">
        <v>1264</v>
      </c>
      <c r="E276" s="715"/>
      <c r="F276" s="715" t="s">
        <v>1808</v>
      </c>
      <c r="G276" s="722" t="s">
        <v>288</v>
      </c>
      <c r="H276" s="722" t="s">
        <v>291</v>
      </c>
      <c r="I276" s="715"/>
      <c r="J276" s="715"/>
      <c r="K276" s="576"/>
      <c r="L276" s="715"/>
      <c r="M276" s="715"/>
      <c r="N276" s="715"/>
      <c r="O276" s="715">
        <v>26</v>
      </c>
      <c r="P276" s="715"/>
      <c r="Q276" s="715"/>
      <c r="R276" s="576"/>
      <c r="S276" s="715"/>
      <c r="T276" s="715">
        <v>26</v>
      </c>
      <c r="U276" s="576"/>
      <c r="V276" s="576"/>
      <c r="W276" s="576"/>
      <c r="X276" s="576"/>
      <c r="Y276" s="715"/>
      <c r="Z276" s="576"/>
      <c r="AA276" s="576"/>
      <c r="AB276" s="576"/>
      <c r="AC276" s="577" t="e">
        <f>IF(NFI_Expiration=1,IF(#REF!&lt;VLOOKUP(L$5,NFI,5,0),1,0)*Table_NFI[[#This Row],[NFI Core Kit]],Table_NFI[NFI Core Kit])</f>
        <v>#REF!</v>
      </c>
      <c r="AD276" s="577" t="e">
        <f>IF(NFI_Expiration=1,IF(#REF!&lt;VLOOKUP(M$5,NFI,5,0),1,0)*Table_NFI[[#This Row],[Sanitary Kit]],Table_NFI[Sanitary Kit])</f>
        <v>#REF!</v>
      </c>
      <c r="AE276" s="577" t="e">
        <f>IF(NFI_Expiration=1,IF(#REF!&lt;VLOOKUP(N$5,NFI,5,0),1,0)*Table_NFI[[#This Row],[Mosquito net]],Table_NFI[Mosquito net])</f>
        <v>#REF!</v>
      </c>
      <c r="AF276" s="577" t="e">
        <f>IF(NFI_Expiration=1,IF(#REF!&lt;VLOOKUP(O$5,NFI,5,0),1,0)*Table_NFI[[#This Row],[Tarpaulin]],Table_NFI[[#This Row],[Tarpaulin]])</f>
        <v>#REF!</v>
      </c>
      <c r="AG276" s="577" t="e">
        <f>IF(NFI_Expiration=1,IF(#REF!&lt;VLOOKUP(P$5,NFI,5,0),1,0)*Table_NFI[[#This Row],[Blanket]],Table_NFI[[#This Row],[Blanket]])</f>
        <v>#REF!</v>
      </c>
      <c r="AH276" s="577" t="e">
        <f>IF(NFI_Expiration=1,IF(#REF!&lt;VLOOKUP(Q$5,NFI,5,0),1,0)*Table_NFI[[#This Row],[Kitchen Set]],Table_NFI[Kitchen Set])</f>
        <v>#REF!</v>
      </c>
      <c r="AI276" s="577" t="e">
        <f>IF(NFI_Expiration=1,IF(#REF!&lt;VLOOKUP(R$5,NFI,5,0),1,0)*Table_NFI[[#This Row],[Clothes Kit]],Table_NFI[Clothes Kit])</f>
        <v>#REF!</v>
      </c>
      <c r="AJ276" s="577" t="e">
        <f>IF(NFI_Expiration=1,IF(#REF!&lt;VLOOKUP(S$5,NFI,5,0),1,0)*Table_NFI[[#This Row],[Plastic Bucket]],Table_NFI[Plastic Bucket])</f>
        <v>#REF!</v>
      </c>
      <c r="AK276" s="577" t="e">
        <f>IF(NFI_Expiration=1,IF(#REF!&lt;VLOOKUP(T$5,NFI,5,0),1,0)*Table_NFI[[#This Row],[Plastic Mat]],Table_NFI[Plastic Mat])*IF(Table_NFI[[#This Row],[Distribution Date]]&gt;"2014-04-01",1,2.5)</f>
        <v>#REF!</v>
      </c>
      <c r="AL276" s="577" t="e">
        <f>IF(NFI_Expiration=1,IF(#REF!&lt;VLOOKUP(U$5,NFI,5,0),1,0)*Table_NFI[[#This Row],[Winter Clothes Adult]],Table_NFI[Winter Clothes Adult])</f>
        <v>#REF!</v>
      </c>
      <c r="AM276" s="577"/>
      <c r="AN276" s="577"/>
      <c r="AO276" s="577"/>
      <c r="AP276" s="577">
        <f>IF(Table_NFI[[#This Row],[Winter Clothes Adult]]+Table_NFI[[#This Row],[Winter Clothes Children]]+Table_NFI[[#This Row],[Winter Items Other]]+Table_NFI[[#This Row],[Winter Blanket]]&gt;0,1,0)</f>
        <v>0</v>
      </c>
      <c r="AQ276" s="577"/>
      <c r="AR276" s="577"/>
      <c r="AS276" s="577"/>
      <c r="AT276" s="220" t="str">
        <f>IFERROR(VLOOKUP(Table_NFI[[#This Row],[Location]],CL,2,0),"")</f>
        <v>MMR015CMP004</v>
      </c>
      <c r="AU276" s="197"/>
    </row>
    <row r="277" spans="2:47" x14ac:dyDescent="0.25">
      <c r="B277" s="575">
        <v>43228</v>
      </c>
      <c r="C277" s="575" t="str">
        <f>MONTH(Table_NFI[[#This Row],[Distribution Date]]) &amp; "/" &amp; YEAR(Table_NFI[[#This Row],[Distribution Date]])</f>
        <v>5/2018</v>
      </c>
      <c r="D277" s="715" t="s">
        <v>420</v>
      </c>
      <c r="E277" s="715"/>
      <c r="F277" s="715" t="s">
        <v>378</v>
      </c>
      <c r="G277" s="715" t="s">
        <v>237</v>
      </c>
      <c r="H277" s="715" t="s">
        <v>1826</v>
      </c>
      <c r="I277" s="715"/>
      <c r="J277" s="715"/>
      <c r="K277" s="576"/>
      <c r="L277" s="715">
        <v>2</v>
      </c>
      <c r="M277" s="715"/>
      <c r="N277" s="723">
        <v>13</v>
      </c>
      <c r="O277" s="715">
        <v>2</v>
      </c>
      <c r="P277" s="723">
        <v>13</v>
      </c>
      <c r="Q277" s="715">
        <v>2</v>
      </c>
      <c r="R277" s="576"/>
      <c r="S277" s="715">
        <v>2</v>
      </c>
      <c r="T277" s="723">
        <v>17</v>
      </c>
      <c r="U277" s="576"/>
      <c r="V277" s="576"/>
      <c r="W277" s="576"/>
      <c r="X277" s="576"/>
      <c r="Y277" s="715">
        <v>2</v>
      </c>
      <c r="Z277" s="576"/>
      <c r="AA277" s="576"/>
      <c r="AB277" s="576"/>
      <c r="AC277" s="577" t="e">
        <f>IF(NFI_Expiration=1,IF(#REF!&lt;VLOOKUP(L$5,NFI,5,0),1,0)*Table_NFI[[#This Row],[NFI Core Kit]],Table_NFI[NFI Core Kit])</f>
        <v>#REF!</v>
      </c>
      <c r="AD277" s="577" t="e">
        <f>IF(NFI_Expiration=1,IF(#REF!&lt;VLOOKUP(M$5,NFI,5,0),1,0)*Table_NFI[[#This Row],[Sanitary Kit]],Table_NFI[Sanitary Kit])</f>
        <v>#REF!</v>
      </c>
      <c r="AE277" s="577" t="e">
        <f>IF(NFI_Expiration=1,IF(#REF!&lt;VLOOKUP(N$5,NFI,5,0),1,0)*Table_NFI[[#This Row],[Mosquito net]],Table_NFI[Mosquito net])</f>
        <v>#REF!</v>
      </c>
      <c r="AF277" s="577" t="e">
        <f>IF(NFI_Expiration=1,IF(#REF!&lt;VLOOKUP(O$5,NFI,5,0),1,0)*Table_NFI[[#This Row],[Tarpaulin]],Table_NFI[[#This Row],[Tarpaulin]])</f>
        <v>#REF!</v>
      </c>
      <c r="AG277" s="577" t="e">
        <f>IF(NFI_Expiration=1,IF(#REF!&lt;VLOOKUP(P$5,NFI,5,0),1,0)*Table_NFI[[#This Row],[Blanket]],Table_NFI[[#This Row],[Blanket]])</f>
        <v>#REF!</v>
      </c>
      <c r="AH277" s="577" t="e">
        <f>IF(NFI_Expiration=1,IF(#REF!&lt;VLOOKUP(Q$5,NFI,5,0),1,0)*Table_NFI[[#This Row],[Kitchen Set]],Table_NFI[Kitchen Set])</f>
        <v>#REF!</v>
      </c>
      <c r="AI277" s="577" t="e">
        <f>IF(NFI_Expiration=1,IF(#REF!&lt;VLOOKUP(R$5,NFI,5,0),1,0)*Table_NFI[[#This Row],[Clothes Kit]],Table_NFI[Clothes Kit])</f>
        <v>#REF!</v>
      </c>
      <c r="AJ277" s="577" t="e">
        <f>IF(NFI_Expiration=1,IF(#REF!&lt;VLOOKUP(S$5,NFI,5,0),1,0)*Table_NFI[[#This Row],[Plastic Bucket]],Table_NFI[Plastic Bucket])</f>
        <v>#REF!</v>
      </c>
      <c r="AK277" s="577" t="e">
        <f>IF(NFI_Expiration=1,IF(#REF!&lt;VLOOKUP(T$5,NFI,5,0),1,0)*Table_NFI[[#This Row],[Plastic Mat]],Table_NFI[Plastic Mat])*IF(Table_NFI[[#This Row],[Distribution Date]]&gt;"2014-04-01",1,2.5)</f>
        <v>#REF!</v>
      </c>
      <c r="AL277" s="577" t="e">
        <f>IF(NFI_Expiration=1,IF(#REF!&lt;VLOOKUP(U$5,NFI,5,0),1,0)*Table_NFI[[#This Row],[Winter Clothes Adult]],Table_NFI[Winter Clothes Adult])</f>
        <v>#REF!</v>
      </c>
      <c r="AM277" s="577"/>
      <c r="AN277" s="577"/>
      <c r="AO277" s="577"/>
      <c r="AP277" s="577">
        <f>IF(Table_NFI[[#This Row],[Winter Clothes Adult]]+Table_NFI[[#This Row],[Winter Clothes Children]]+Table_NFI[[#This Row],[Winter Items Other]]+Table_NFI[[#This Row],[Winter Blanket]]&gt;0,1,0)</f>
        <v>0</v>
      </c>
      <c r="AQ277" s="577"/>
      <c r="AR277" s="577"/>
      <c r="AS277" s="577"/>
      <c r="AT277" s="220" t="str">
        <f>IFERROR(VLOOKUP(Table_NFI[[#This Row],[Location]],CL,2,0),"")</f>
        <v/>
      </c>
      <c r="AU277" s="197"/>
    </row>
    <row r="278" spans="2:47" x14ac:dyDescent="0.25">
      <c r="B278" s="575">
        <v>43228</v>
      </c>
      <c r="C278" s="575" t="str">
        <f>MONTH(Table_NFI[[#This Row],[Distribution Date]]) &amp; "/" &amp; YEAR(Table_NFI[[#This Row],[Distribution Date]])</f>
        <v>5/2018</v>
      </c>
      <c r="D278" s="715" t="s">
        <v>420</v>
      </c>
      <c r="E278" s="715"/>
      <c r="F278" s="715" t="s">
        <v>378</v>
      </c>
      <c r="G278" s="715" t="s">
        <v>309</v>
      </c>
      <c r="H278" s="715" t="s">
        <v>1827</v>
      </c>
      <c r="I278" s="715"/>
      <c r="J278" s="715"/>
      <c r="K278" s="576"/>
      <c r="L278" s="715">
        <v>3</v>
      </c>
      <c r="M278" s="715"/>
      <c r="N278" s="723"/>
      <c r="O278" s="715">
        <v>3</v>
      </c>
      <c r="P278" s="723"/>
      <c r="Q278" s="715">
        <v>3</v>
      </c>
      <c r="R278" s="576"/>
      <c r="S278" s="715">
        <v>3</v>
      </c>
      <c r="T278" s="723"/>
      <c r="U278" s="576"/>
      <c r="V278" s="576"/>
      <c r="W278" s="576"/>
      <c r="X278" s="576"/>
      <c r="Y278" s="715">
        <v>3</v>
      </c>
      <c r="Z278" s="576"/>
      <c r="AA278" s="576"/>
      <c r="AB278" s="576"/>
      <c r="AC278" s="577" t="e">
        <f>IF(NFI_Expiration=1,IF(#REF!&lt;VLOOKUP(L$5,NFI,5,0),1,0)*Table_NFI[[#This Row],[NFI Core Kit]],Table_NFI[NFI Core Kit])</f>
        <v>#REF!</v>
      </c>
      <c r="AD278" s="577" t="e">
        <f>IF(NFI_Expiration=1,IF(#REF!&lt;VLOOKUP(M$5,NFI,5,0),1,0)*Table_NFI[[#This Row],[Sanitary Kit]],Table_NFI[Sanitary Kit])</f>
        <v>#REF!</v>
      </c>
      <c r="AE278" s="577" t="e">
        <f>IF(NFI_Expiration=1,IF(#REF!&lt;VLOOKUP(N$5,NFI,5,0),1,0)*Table_NFI[[#This Row],[Mosquito net]],Table_NFI[Mosquito net])</f>
        <v>#REF!</v>
      </c>
      <c r="AF278" s="577" t="e">
        <f>IF(NFI_Expiration=1,IF(#REF!&lt;VLOOKUP(O$5,NFI,5,0),1,0)*Table_NFI[[#This Row],[Tarpaulin]],Table_NFI[[#This Row],[Tarpaulin]])</f>
        <v>#REF!</v>
      </c>
      <c r="AG278" s="577" t="e">
        <f>IF(NFI_Expiration=1,IF(#REF!&lt;VLOOKUP(P$5,NFI,5,0),1,0)*Table_NFI[[#This Row],[Blanket]],Table_NFI[[#This Row],[Blanket]])</f>
        <v>#REF!</v>
      </c>
      <c r="AH278" s="577" t="e">
        <f>IF(NFI_Expiration=1,IF(#REF!&lt;VLOOKUP(Q$5,NFI,5,0),1,0)*Table_NFI[[#This Row],[Kitchen Set]],Table_NFI[Kitchen Set])</f>
        <v>#REF!</v>
      </c>
      <c r="AI278" s="577" t="e">
        <f>IF(NFI_Expiration=1,IF(#REF!&lt;VLOOKUP(R$5,NFI,5,0),1,0)*Table_NFI[[#This Row],[Clothes Kit]],Table_NFI[Clothes Kit])</f>
        <v>#REF!</v>
      </c>
      <c r="AJ278" s="577" t="e">
        <f>IF(NFI_Expiration=1,IF(#REF!&lt;VLOOKUP(S$5,NFI,5,0),1,0)*Table_NFI[[#This Row],[Plastic Bucket]],Table_NFI[Plastic Bucket])</f>
        <v>#REF!</v>
      </c>
      <c r="AK278" s="577" t="e">
        <f>IF(NFI_Expiration=1,IF(#REF!&lt;VLOOKUP(T$5,NFI,5,0),1,0)*Table_NFI[[#This Row],[Plastic Mat]],Table_NFI[Plastic Mat])*IF(Table_NFI[[#This Row],[Distribution Date]]&gt;"2014-04-01",1,2.5)</f>
        <v>#REF!</v>
      </c>
      <c r="AL278" s="577" t="e">
        <f>IF(NFI_Expiration=1,IF(#REF!&lt;VLOOKUP(U$5,NFI,5,0),1,0)*Table_NFI[[#This Row],[Winter Clothes Adult]],Table_NFI[Winter Clothes Adult])</f>
        <v>#REF!</v>
      </c>
      <c r="AM278" s="577"/>
      <c r="AN278" s="577"/>
      <c r="AO278" s="577"/>
      <c r="AP278" s="577">
        <f>IF(Table_NFI[[#This Row],[Winter Clothes Adult]]+Table_NFI[[#This Row],[Winter Clothes Children]]+Table_NFI[[#This Row],[Winter Items Other]]+Table_NFI[[#This Row],[Winter Blanket]]&gt;0,1,0)</f>
        <v>0</v>
      </c>
      <c r="AQ278" s="577"/>
      <c r="AR278" s="577"/>
      <c r="AS278" s="577"/>
      <c r="AT278" s="220" t="str">
        <f>IFERROR(VLOOKUP(Table_NFI[[#This Row],[Location]],CL,2,0),"")</f>
        <v/>
      </c>
      <c r="AU278" s="197"/>
    </row>
    <row r="279" spans="2:47" x14ac:dyDescent="0.25">
      <c r="B279" s="575">
        <v>43228</v>
      </c>
      <c r="C279" s="575" t="str">
        <f>MONTH(Table_NFI[[#This Row],[Distribution Date]]) &amp; "/" &amp; YEAR(Table_NFI[[#This Row],[Distribution Date]])</f>
        <v>5/2018</v>
      </c>
      <c r="D279" s="715" t="s">
        <v>420</v>
      </c>
      <c r="E279" s="715"/>
      <c r="F279" s="715" t="s">
        <v>378</v>
      </c>
      <c r="G279" s="715" t="s">
        <v>237</v>
      </c>
      <c r="H279" s="715" t="s">
        <v>1828</v>
      </c>
      <c r="I279" s="715"/>
      <c r="J279" s="715"/>
      <c r="K279" s="576"/>
      <c r="L279" s="715">
        <v>4</v>
      </c>
      <c r="M279" s="715"/>
      <c r="N279" s="715">
        <v>10</v>
      </c>
      <c r="O279" s="715">
        <v>4</v>
      </c>
      <c r="P279" s="715">
        <v>13</v>
      </c>
      <c r="Q279" s="715">
        <v>4</v>
      </c>
      <c r="R279" s="576"/>
      <c r="S279" s="715">
        <v>4</v>
      </c>
      <c r="T279" s="715">
        <v>12</v>
      </c>
      <c r="U279" s="576"/>
      <c r="V279" s="576"/>
      <c r="W279" s="576"/>
      <c r="X279" s="576"/>
      <c r="Y279" s="715">
        <v>4</v>
      </c>
      <c r="Z279" s="576"/>
      <c r="AA279" s="576"/>
      <c r="AB279" s="576"/>
      <c r="AC279" s="577" t="e">
        <f>IF(NFI_Expiration=1,IF(#REF!&lt;VLOOKUP(L$5,NFI,5,0),1,0)*Table_NFI[[#This Row],[NFI Core Kit]],Table_NFI[NFI Core Kit])</f>
        <v>#REF!</v>
      </c>
      <c r="AD279" s="577" t="e">
        <f>IF(NFI_Expiration=1,IF(#REF!&lt;VLOOKUP(M$5,NFI,5,0),1,0)*Table_NFI[[#This Row],[Sanitary Kit]],Table_NFI[Sanitary Kit])</f>
        <v>#REF!</v>
      </c>
      <c r="AE279" s="577" t="e">
        <f>IF(NFI_Expiration=1,IF(#REF!&lt;VLOOKUP(N$5,NFI,5,0),1,0)*Table_NFI[[#This Row],[Mosquito net]],Table_NFI[Mosquito net])</f>
        <v>#REF!</v>
      </c>
      <c r="AF279" s="577" t="e">
        <f>IF(NFI_Expiration=1,IF(#REF!&lt;VLOOKUP(O$5,NFI,5,0),1,0)*Table_NFI[[#This Row],[Tarpaulin]],Table_NFI[[#This Row],[Tarpaulin]])</f>
        <v>#REF!</v>
      </c>
      <c r="AG279" s="577" t="e">
        <f>IF(NFI_Expiration=1,IF(#REF!&lt;VLOOKUP(P$5,NFI,5,0),1,0)*Table_NFI[[#This Row],[Blanket]],Table_NFI[[#This Row],[Blanket]])</f>
        <v>#REF!</v>
      </c>
      <c r="AH279" s="577" t="e">
        <f>IF(NFI_Expiration=1,IF(#REF!&lt;VLOOKUP(Q$5,NFI,5,0),1,0)*Table_NFI[[#This Row],[Kitchen Set]],Table_NFI[Kitchen Set])</f>
        <v>#REF!</v>
      </c>
      <c r="AI279" s="577" t="e">
        <f>IF(NFI_Expiration=1,IF(#REF!&lt;VLOOKUP(R$5,NFI,5,0),1,0)*Table_NFI[[#This Row],[Clothes Kit]],Table_NFI[Clothes Kit])</f>
        <v>#REF!</v>
      </c>
      <c r="AJ279" s="577" t="e">
        <f>IF(NFI_Expiration=1,IF(#REF!&lt;VLOOKUP(S$5,NFI,5,0),1,0)*Table_NFI[[#This Row],[Plastic Bucket]],Table_NFI[Plastic Bucket])</f>
        <v>#REF!</v>
      </c>
      <c r="AK279" s="577" t="e">
        <f>IF(NFI_Expiration=1,IF(#REF!&lt;VLOOKUP(T$5,NFI,5,0),1,0)*Table_NFI[[#This Row],[Plastic Mat]],Table_NFI[Plastic Mat])*IF(Table_NFI[[#This Row],[Distribution Date]]&gt;"2014-04-01",1,2.5)</f>
        <v>#REF!</v>
      </c>
      <c r="AL279" s="577" t="e">
        <f>IF(NFI_Expiration=1,IF(#REF!&lt;VLOOKUP(U$5,NFI,5,0),1,0)*Table_NFI[[#This Row],[Winter Clothes Adult]],Table_NFI[Winter Clothes Adult])</f>
        <v>#REF!</v>
      </c>
      <c r="AM279" s="577"/>
      <c r="AN279" s="577"/>
      <c r="AO279" s="577"/>
      <c r="AP279" s="577">
        <f>IF(Table_NFI[[#This Row],[Winter Clothes Adult]]+Table_NFI[[#This Row],[Winter Clothes Children]]+Table_NFI[[#This Row],[Winter Items Other]]+Table_NFI[[#This Row],[Winter Blanket]]&gt;0,1,0)</f>
        <v>0</v>
      </c>
      <c r="AQ279" s="577"/>
      <c r="AR279" s="577"/>
      <c r="AS279" s="577"/>
      <c r="AT279" s="220" t="str">
        <f>IFERROR(VLOOKUP(Table_NFI[[#This Row],[Location]],CL,2,0),"")</f>
        <v/>
      </c>
      <c r="AU279" s="197"/>
    </row>
    <row r="280" spans="2:47" x14ac:dyDescent="0.25">
      <c r="B280" s="575">
        <v>43228</v>
      </c>
      <c r="C280" s="575" t="str">
        <f>MONTH(Table_NFI[[#This Row],[Distribution Date]]) &amp; "/" &amp; YEAR(Table_NFI[[#This Row],[Distribution Date]])</f>
        <v>5/2018</v>
      </c>
      <c r="D280" s="715" t="s">
        <v>420</v>
      </c>
      <c r="E280" s="715"/>
      <c r="F280" s="715" t="s">
        <v>378</v>
      </c>
      <c r="G280" s="715" t="s">
        <v>309</v>
      </c>
      <c r="H280" s="715" t="s">
        <v>1827</v>
      </c>
      <c r="I280" s="715"/>
      <c r="J280" s="715"/>
      <c r="K280" s="576"/>
      <c r="L280" s="715">
        <v>24</v>
      </c>
      <c r="M280" s="715"/>
      <c r="N280" s="715">
        <v>52</v>
      </c>
      <c r="O280" s="715">
        <v>24</v>
      </c>
      <c r="P280" s="715">
        <v>52</v>
      </c>
      <c r="Q280" s="715">
        <v>24</v>
      </c>
      <c r="R280" s="576"/>
      <c r="S280" s="715">
        <v>24</v>
      </c>
      <c r="T280" s="715">
        <v>89</v>
      </c>
      <c r="U280" s="576"/>
      <c r="V280" s="576"/>
      <c r="W280" s="576"/>
      <c r="X280" s="576"/>
      <c r="Y280" s="715">
        <v>24</v>
      </c>
      <c r="Z280" s="576"/>
      <c r="AA280" s="576"/>
      <c r="AB280" s="576"/>
      <c r="AC280" s="577" t="e">
        <f>IF(NFI_Expiration=1,IF(#REF!&lt;VLOOKUP(L$5,NFI,5,0),1,0)*Table_NFI[[#This Row],[NFI Core Kit]],Table_NFI[NFI Core Kit])</f>
        <v>#REF!</v>
      </c>
      <c r="AD280" s="577" t="e">
        <f>IF(NFI_Expiration=1,IF(#REF!&lt;VLOOKUP(M$5,NFI,5,0),1,0)*Table_NFI[[#This Row],[Sanitary Kit]],Table_NFI[Sanitary Kit])</f>
        <v>#REF!</v>
      </c>
      <c r="AE280" s="577" t="e">
        <f>IF(NFI_Expiration=1,IF(#REF!&lt;VLOOKUP(N$5,NFI,5,0),1,0)*Table_NFI[[#This Row],[Mosquito net]],Table_NFI[Mosquito net])</f>
        <v>#REF!</v>
      </c>
      <c r="AF280" s="577" t="e">
        <f>IF(NFI_Expiration=1,IF(#REF!&lt;VLOOKUP(O$5,NFI,5,0),1,0)*Table_NFI[[#This Row],[Tarpaulin]],Table_NFI[[#This Row],[Tarpaulin]])</f>
        <v>#REF!</v>
      </c>
      <c r="AG280" s="577" t="e">
        <f>IF(NFI_Expiration=1,IF(#REF!&lt;VLOOKUP(P$5,NFI,5,0),1,0)*Table_NFI[[#This Row],[Blanket]],Table_NFI[[#This Row],[Blanket]])</f>
        <v>#REF!</v>
      </c>
      <c r="AH280" s="577" t="e">
        <f>IF(NFI_Expiration=1,IF(#REF!&lt;VLOOKUP(Q$5,NFI,5,0),1,0)*Table_NFI[[#This Row],[Kitchen Set]],Table_NFI[Kitchen Set])</f>
        <v>#REF!</v>
      </c>
      <c r="AI280" s="577" t="e">
        <f>IF(NFI_Expiration=1,IF(#REF!&lt;VLOOKUP(R$5,NFI,5,0),1,0)*Table_NFI[[#This Row],[Clothes Kit]],Table_NFI[Clothes Kit])</f>
        <v>#REF!</v>
      </c>
      <c r="AJ280" s="577" t="e">
        <f>IF(NFI_Expiration=1,IF(#REF!&lt;VLOOKUP(S$5,NFI,5,0),1,0)*Table_NFI[[#This Row],[Plastic Bucket]],Table_NFI[Plastic Bucket])</f>
        <v>#REF!</v>
      </c>
      <c r="AK280" s="577" t="e">
        <f>IF(NFI_Expiration=1,IF(#REF!&lt;VLOOKUP(T$5,NFI,5,0),1,0)*Table_NFI[[#This Row],[Plastic Mat]],Table_NFI[Plastic Mat])*IF(Table_NFI[[#This Row],[Distribution Date]]&gt;"2014-04-01",1,2.5)</f>
        <v>#REF!</v>
      </c>
      <c r="AL280" s="577" t="e">
        <f>IF(NFI_Expiration=1,IF(#REF!&lt;VLOOKUP(U$5,NFI,5,0),1,0)*Table_NFI[[#This Row],[Winter Clothes Adult]],Table_NFI[Winter Clothes Adult])</f>
        <v>#REF!</v>
      </c>
      <c r="AM280" s="577"/>
      <c r="AN280" s="577"/>
      <c r="AO280" s="577"/>
      <c r="AP280" s="577">
        <f>IF(Table_NFI[[#This Row],[Winter Clothes Adult]]+Table_NFI[[#This Row],[Winter Clothes Children]]+Table_NFI[[#This Row],[Winter Items Other]]+Table_NFI[[#This Row],[Winter Blanket]]&gt;0,1,0)</f>
        <v>0</v>
      </c>
      <c r="AQ280" s="577"/>
      <c r="AR280" s="577"/>
      <c r="AS280" s="577"/>
      <c r="AT280" s="220" t="str">
        <f>IFERROR(VLOOKUP(Table_NFI[[#This Row],[Location]],CL,2,0),"")</f>
        <v/>
      </c>
      <c r="AU280" s="197"/>
    </row>
  </sheetData>
  <mergeCells count="11">
    <mergeCell ref="AE2:AM2"/>
    <mergeCell ref="AN2:AU2"/>
    <mergeCell ref="M3:U3"/>
    <mergeCell ref="V3:AD3"/>
    <mergeCell ref="AE3:AM3"/>
    <mergeCell ref="AN3:AU3"/>
    <mergeCell ref="B4:E4"/>
    <mergeCell ref="B2:L2"/>
    <mergeCell ref="B3:L3"/>
    <mergeCell ref="M2:U2"/>
    <mergeCell ref="V2:AD2"/>
  </mergeCells>
  <conditionalFormatting sqref="AT53:AT114">
    <cfRule type="containsText" dxfId="411" priority="62" operator="containsText" text="close">
      <formula>NOT(ISERROR(SEARCH("close",AT53)))</formula>
    </cfRule>
    <cfRule type="containsText" dxfId="410" priority="63" operator="containsText" text="open">
      <formula>NOT(ISERROR(SEARCH("open",AT53)))</formula>
    </cfRule>
  </conditionalFormatting>
  <dataValidations count="5">
    <dataValidation type="list" allowBlank="1" showInputMessage="1" showErrorMessage="1" sqref="F76 F41 F90:F98 F44:F53 F78:F87 F64:F66 F57 F62 F68 F102 F39 F108:F109 F112">
      <formula1>State</formula1>
    </dataValidation>
    <dataValidation type="list" allowBlank="1" showInputMessage="1" showErrorMessage="1" sqref="H39:I114 I37:I38 H32:H37 H19:H20 H119 H170 H181:H212 H225:H228">
      <formula1>OFFSET(TCL_T1,MATCH(G19,TCL_T,0)-1,1,COUNTIF(TCL_T,G19),1)</formula1>
    </dataValidation>
    <dataValidation type="list" showInputMessage="1" showErrorMessage="1" sqref="G76 G41 G44:G53 G68 G78:G87 G103:G109 G39 G57 G112 G62 G64:G66 G90:G95 G97:G100">
      <formula1>INDIRECT(F39)</formula1>
    </dataValidation>
    <dataValidation type="list" allowBlank="1" showInputMessage="1" showErrorMessage="1" sqref="H179:H180">
      <formula1>OFFSET(TCL_T1,MATCH(#REF!,TCL_T,0)-1,1,COUNTIF(TCL_T,#REF!),1)</formula1>
    </dataValidation>
    <dataValidation type="list" allowBlank="1" showInputMessage="1" showErrorMessage="1" sqref="H224">
      <formula1>#N/A</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OFFSET([1]data!#REF!,MATCH(G38,[1]data!#REF!,0)-1,0,COUNTIF([1]data!#REF!,G38),1)</xm:f>
          </x14:formula1>
          <xm:sqref>H38</xm:sqref>
        </x14:dataValidation>
        <x14:dataValidation type="list" allowBlank="1" showInputMessage="1" showErrorMessage="1">
          <x14:formula1>
            <xm:f>[2]data!#REF!</xm:f>
          </x14:formula1>
          <xm:sqref>E32</xm:sqref>
        </x14:dataValidation>
        <x14:dataValidation type="list" allowBlank="1" showInputMessage="1" showErrorMessage="1">
          <x14:formula1>
            <xm:f>OFFSET([3]data!#REF!,MATCH(G7,[3]data!#REF!,0)-1,0,COUNTIF([3]data!#REF!,G7),1)</xm:f>
          </x14:formula1>
          <xm:sqref>H12:H18 H7:H10</xm:sqref>
        </x14:dataValidation>
        <x14:dataValidation type="list" allowBlank="1" showInputMessage="1" showErrorMessage="1">
          <x14:formula1>
            <xm:f>OFFSET([4]data!#REF!,MATCH(F126,[4]data!#REF!,0)-1,0,COUNTIF([4]data!#REF!,F126),1)</xm:f>
          </x14:formula1>
          <xm:sqref>G124:G125</xm:sqref>
        </x14:dataValidation>
        <x14:dataValidation type="list" allowBlank="1" showInputMessage="1" showErrorMessage="1">
          <x14:formula1>
            <xm:f>OFFSET([3]data!#REF!,MATCH(G11,[3]data!#REF!,0)-1,0,COUNTIF([3]data!#REF!,G11),1)</xm:f>
          </x14:formula1>
          <xm:sqref>H11</xm:sqref>
        </x14:dataValidation>
        <x14:dataValidation type="list" allowBlank="1" showInputMessage="1" showErrorMessage="1">
          <x14:formula1>
            <xm:f>OFFSET([5]data!#REF!,MATCH(G169,[5]data!#REF!,0)-1,0,COUNTIF([5]data!#REF!,G169),1)</xm:f>
          </x14:formula1>
          <xm:sqref>H169</xm:sqref>
        </x14:dataValidation>
        <x14:dataValidation type="list" allowBlank="1" showInputMessage="1" showErrorMessage="1">
          <x14:formula1>
            <xm:f>OFFSET([3]data!#REF!,MATCH(G6,[3]data!#REF!,0)-1,0,COUNTIF([3]data!#REF!,G6),1)</xm:f>
          </x14:formula1>
          <xm:sqref>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4.4" x14ac:dyDescent="0.3"/>
  <cols>
    <col min="1" max="1" width="19.6640625" style="38" customWidth="1"/>
    <col min="2" max="2" width="11.88671875" customWidth="1"/>
    <col min="3" max="3" width="38.6640625" customWidth="1"/>
    <col min="4" max="4" width="11.5546875" bestFit="1" customWidth="1"/>
    <col min="5" max="5" width="10.6640625" customWidth="1"/>
    <col min="6" max="6" width="7.6640625" customWidth="1"/>
    <col min="7" max="7" width="23.44140625" customWidth="1"/>
    <col min="8" max="8" width="20.33203125" customWidth="1"/>
    <col min="9" max="9" width="19" bestFit="1" customWidth="1"/>
    <col min="10" max="10" width="14.6640625" bestFit="1" customWidth="1"/>
    <col min="11" max="11" width="17" customWidth="1"/>
    <col min="12" max="12" width="17.44140625" customWidth="1"/>
    <col min="13" max="13" width="13" style="45" customWidth="1"/>
    <col min="14" max="14" width="11.109375" customWidth="1"/>
    <col min="17" max="17" width="14.109375" customWidth="1"/>
    <col min="18" max="18" width="21.6640625" bestFit="1" customWidth="1"/>
    <col min="19" max="19" width="21.44140625" customWidth="1"/>
    <col min="20" max="20" width="21.5546875" bestFit="1" customWidth="1"/>
    <col min="21" max="21" width="6" customWidth="1"/>
    <col min="22" max="22" width="21.109375" bestFit="1" customWidth="1"/>
    <col min="23" max="23" width="6" customWidth="1"/>
    <col min="24" max="24" width="26.5546875" bestFit="1" customWidth="1"/>
    <col min="25" max="26" width="26.33203125" bestFit="1" customWidth="1"/>
  </cols>
  <sheetData>
    <row r="1" spans="1:20" s="40" customFormat="1" ht="28.8" x14ac:dyDescent="0.3">
      <c r="A1" s="119" t="s">
        <v>511</v>
      </c>
      <c r="B1" s="120" t="s">
        <v>926</v>
      </c>
      <c r="C1" s="120" t="s">
        <v>507</v>
      </c>
      <c r="D1" s="120" t="s">
        <v>0</v>
      </c>
      <c r="E1" s="120" t="s">
        <v>2</v>
      </c>
      <c r="F1" s="120" t="s">
        <v>927</v>
      </c>
      <c r="G1" s="120" t="s">
        <v>862</v>
      </c>
      <c r="H1" s="120" t="s">
        <v>863</v>
      </c>
      <c r="I1" s="120" t="s">
        <v>864</v>
      </c>
      <c r="J1" s="120" t="s">
        <v>928</v>
      </c>
      <c r="K1" s="120" t="s">
        <v>930</v>
      </c>
      <c r="L1" s="120" t="s">
        <v>929</v>
      </c>
      <c r="M1" s="121" t="s">
        <v>937</v>
      </c>
      <c r="N1" s="122" t="s">
        <v>934</v>
      </c>
      <c r="Q1" s="40">
        <f>SUM(N:N)</f>
        <v>0</v>
      </c>
      <c r="R1" s="40">
        <f>COUNTA(A:A)-1</f>
        <v>167</v>
      </c>
    </row>
    <row r="2" spans="1:20" x14ac:dyDescent="0.3">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107</v>
      </c>
      <c r="F2" s="7">
        <f ca="1">OFFSET(CampList[Total],MATCH(Table10[[#This Row],[Pcode]],CampList[CP_Pcode],0)-1,0,1,1)</f>
        <v>559</v>
      </c>
      <c r="G2" s="106">
        <f>SUMIF('NFI Distributions'!AU$53:AU$1048576,Table10[[#This Row],[Pcode]],'NFI Distributions'!AM$53:AM$1048576)</f>
        <v>0</v>
      </c>
      <c r="H2" s="106">
        <f>SUMIF('NFI Distributions'!AU$53:AU$1048576,Table10[[#This Row],[Pcode]],'NFI Distributions'!AN$53:AN$1048576)</f>
        <v>0</v>
      </c>
      <c r="I2" s="106">
        <f>SUMIF('NFI Distributions'!AU$53:AU$1048576,Table10[[#This Row],[Pcode]],'NFI Distributions'!AO$53:AO$1048576)</f>
        <v>0</v>
      </c>
      <c r="J2" s="106">
        <f ca="1">MAX(Table10[[#This Row],[HH]]*VLOOKUP("Winter Clothes Adult",NFI,6)-Table10[[#This Row],[Winter Clothes Adult ]],0)</f>
        <v>214</v>
      </c>
      <c r="K2" s="106">
        <f ca="1">MAX(Table10[[#This Row],[HH]]*VLOOKUP("Winter Clothes Children ",NFI,6)-Table10[[#This Row],[Winter Clothes Children ]],0)</f>
        <v>107</v>
      </c>
      <c r="L2" s="106">
        <f ca="1">MAX(Table10[[#This Row],[HH]]*VLOOKUP("Winter Items Other ",NFI,6)-Table10[[#This Row],[Winter Items Other ]],0)</f>
        <v>107</v>
      </c>
      <c r="M2" s="114" t="str">
        <f>IF(OR(Table10[[#This Row],[Winter Clothes Adult ]]&lt;&gt;0,Table10[[#This Row],[Winter Clothes Children ]]&lt;&gt;0,Table10[[#This Row],[Winter Items Other ]]&lt;&gt;0),"No","")</f>
        <v/>
      </c>
      <c r="N2" s="115">
        <f>COUNTIF(A:A,Table10[[#This Row],[Pcode]])-1</f>
        <v>0</v>
      </c>
    </row>
    <row r="3" spans="1:20" x14ac:dyDescent="0.3">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Distributions'!AU$53:AU$1048576,Table10[[#This Row],[Pcode]],'NFI Distributions'!AM$53:AM$1048576)</f>
        <v>0</v>
      </c>
      <c r="H3" s="106">
        <f>SUMIF('NFI Distributions'!AU$53:AU$1048576,Table10[[#This Row],[Pcode]],'NFI Distributions'!AN$53:AN$1048576)</f>
        <v>0</v>
      </c>
      <c r="I3" s="106">
        <f>SUMIF('NFI Distributions'!AU$53:AU$1048576,Table10[[#This Row],[Pcode]],'NFI Distributions'!AO$53:AO$1048576)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3">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160</v>
      </c>
      <c r="F4" s="7">
        <f ca="1">OFFSET(CampList[Total],MATCH(Table10[[#This Row],[Pcode]],CampList[CP_Pcode],0)-1,0,1,1)</f>
        <v>830</v>
      </c>
      <c r="G4" s="106">
        <f>SUMIF('NFI Distributions'!AU$53:AU$1048576,Table10[[#This Row],[Pcode]],'NFI Distributions'!AM$53:AM$1048576)</f>
        <v>0</v>
      </c>
      <c r="H4" s="106">
        <f>SUMIF('NFI Distributions'!AU$53:AU$1048576,Table10[[#This Row],[Pcode]],'NFI Distributions'!AN$53:AN$1048576)</f>
        <v>0</v>
      </c>
      <c r="I4" s="106">
        <f>SUMIF('NFI Distributions'!AU$53:AU$1048576,Table10[[#This Row],[Pcode]],'NFI Distributions'!AO$53:AO$1048576)</f>
        <v>0</v>
      </c>
      <c r="J4" s="106">
        <f ca="1">MAX(Table10[[#This Row],[HH]]*VLOOKUP("Winter Clothes Adult",NFI,6)-Table10[[#This Row],[Winter Clothes Adult ]],0)</f>
        <v>320</v>
      </c>
      <c r="K4" s="106">
        <f ca="1">MAX(Table10[[#This Row],[HH]]*VLOOKUP("Winter Clothes Children ",NFI,6)-Table10[[#This Row],[Winter Clothes Children ]],0)</f>
        <v>160</v>
      </c>
      <c r="L4" s="106">
        <f ca="1">MAX(Table10[[#This Row],[HH]]*VLOOKUP("Winter Items Other ",NFI,6)-Table10[[#This Row],[Winter Items Other ]],0)</f>
        <v>160</v>
      </c>
      <c r="M4" s="114" t="str">
        <f>IF(OR(Table10[[#This Row],[Winter Clothes Adult ]]&lt;&gt;0,Table10[[#This Row],[Winter Clothes Children ]]&lt;&gt;0,Table10[[#This Row],[Winter Items Other ]]&lt;&gt;0),"No","")</f>
        <v/>
      </c>
      <c r="N4" s="115">
        <f>COUNTIF(A:A,Table10[[#This Row],[Pcode]])-1</f>
        <v>0</v>
      </c>
    </row>
    <row r="5" spans="1:20" x14ac:dyDescent="0.3">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Distributions'!AU$53:AU$1048576,Table10[[#This Row],[Pcode]],'NFI Distributions'!AM$53:AM$1048576)</f>
        <v>0</v>
      </c>
      <c r="H5" s="106">
        <f>SUMIF('NFI Distributions'!AU$53:AU$1048576,Table10[[#This Row],[Pcode]],'NFI Distributions'!AN$53:AN$1048576)</f>
        <v>0</v>
      </c>
      <c r="I5" s="106">
        <f>SUMIF('NFI Distributions'!AU$53:AU$1048576,Table10[[#This Row],[Pcode]],'NFI Distributions'!AO$53:AO$1048576)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3">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143</v>
      </c>
      <c r="F6" s="7">
        <f ca="1">OFFSET(CampList[Total],MATCH(Table10[[#This Row],[Pcode]],CampList[CP_Pcode],0)-1,0,1,1)</f>
        <v>640</v>
      </c>
      <c r="G6" s="106">
        <f>SUMIF('NFI Distributions'!AU$53:AU$1048576,Table10[[#This Row],[Pcode]],'NFI Distributions'!AM$53:AM$1048576)</f>
        <v>0</v>
      </c>
      <c r="H6" s="106">
        <f>SUMIF('NFI Distributions'!AU$53:AU$1048576,Table10[[#This Row],[Pcode]],'NFI Distributions'!AN$53:AN$1048576)</f>
        <v>0</v>
      </c>
      <c r="I6" s="106">
        <f>SUMIF('NFI Distributions'!AU$53:AU$1048576,Table10[[#This Row],[Pcode]],'NFI Distributions'!AO$53:AO$1048576)</f>
        <v>0</v>
      </c>
      <c r="J6" s="106">
        <f ca="1">MAX(Table10[[#This Row],[HH]]*VLOOKUP("Winter Clothes Adult",NFI,6)-Table10[[#This Row],[Winter Clothes Adult ]],0)</f>
        <v>286</v>
      </c>
      <c r="K6" s="106">
        <f ca="1">MAX(Table10[[#This Row],[HH]]*VLOOKUP("Winter Clothes Children ",NFI,6)-Table10[[#This Row],[Winter Clothes Children ]],0)</f>
        <v>143</v>
      </c>
      <c r="L6" s="106">
        <f ca="1">MAX(Table10[[#This Row],[HH]]*VLOOKUP("Winter Items Other ",NFI,6)-Table10[[#This Row],[Winter Items Other ]],0)</f>
        <v>143</v>
      </c>
      <c r="M6" s="114" t="str">
        <f>IF(OR(Table10[[#This Row],[Winter Clothes Adult ]]&lt;&gt;0,Table10[[#This Row],[Winter Clothes Children ]]&lt;&gt;0,Table10[[#This Row],[Winter Items Other ]]&lt;&gt;0),"No","")</f>
        <v/>
      </c>
      <c r="N6" s="115">
        <f>COUNTIF(A:A,Table10[[#This Row],[Pcode]])-1</f>
        <v>0</v>
      </c>
    </row>
    <row r="7" spans="1:20" x14ac:dyDescent="0.3">
      <c r="A7" s="102" t="s">
        <v>876</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172</v>
      </c>
      <c r="G7" s="106">
        <f>SUMIF('NFI Distributions'!AU$53:AU$1048576,Table10[[#This Row],[Pcode]],'NFI Distributions'!AM$53:AM$1048576)</f>
        <v>0</v>
      </c>
      <c r="H7" s="106">
        <f>SUMIF('NFI Distributions'!AU$53:AU$1048576,Table10[[#This Row],[Pcode]],'NFI Distributions'!AN$53:AN$1048576)</f>
        <v>0</v>
      </c>
      <c r="I7" s="106">
        <f>SUMIF('NFI Distributions'!AU$53:AU$1048576,Table10[[#This Row],[Pcode]],'NFI Distributions'!AO$53:AO$1048576)</f>
        <v>0</v>
      </c>
      <c r="J7" s="106">
        <f ca="1">MAX(Table10[[#This Row],[HH]]*VLOOKUP("Winter Clothes Adult",NFI,6)-Table10[[#This Row],[Winter Clothes Adult ]],0)</f>
        <v>60</v>
      </c>
      <c r="K7" s="106">
        <f ca="1">MAX(Table10[[#This Row],[HH]]*VLOOKUP("Winter Clothes Children ",NFI,6)-Table10[[#This Row],[Winter Clothes Children ]],0)</f>
        <v>30</v>
      </c>
      <c r="L7" s="106">
        <f ca="1">MAX(Table10[[#This Row],[HH]]*VLOOKUP("Winter Items Other ",NFI,6)-Table10[[#This Row],[Winter Items Other ]],0)</f>
        <v>30</v>
      </c>
      <c r="M7" s="114" t="str">
        <f>IF(OR(Table10[[#This Row],[Winter Clothes Adult ]]&lt;&gt;0,Table10[[#This Row],[Winter Clothes Children ]]&lt;&gt;0,Table10[[#This Row],[Winter Items Other ]]&lt;&gt;0),"No","")</f>
        <v/>
      </c>
      <c r="N7" s="115">
        <f>COUNTIF(A:A,Table10[[#This Row],[Pcode]])-1</f>
        <v>0</v>
      </c>
    </row>
    <row r="8" spans="1:20" x14ac:dyDescent="0.3">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270</v>
      </c>
      <c r="G8" s="106">
        <f>SUMIF('NFI Distributions'!AU$53:AU$1048576,Table10[[#This Row],[Pcode]],'NFI Distributions'!AM$53:AM$1048576)</f>
        <v>0</v>
      </c>
      <c r="H8" s="106">
        <f>SUMIF('NFI Distributions'!AU$53:AU$1048576,Table10[[#This Row],[Pcode]],'NFI Distributions'!AN$53:AN$1048576)</f>
        <v>0</v>
      </c>
      <c r="I8" s="106">
        <f>SUMIF('NFI Distributions'!AU$53:AU$1048576,Table10[[#This Row],[Pcode]],'NFI Distributions'!AO$53:AO$1048576)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3">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154</v>
      </c>
      <c r="F9" s="7">
        <f ca="1">OFFSET(CampList[Total],MATCH(Table10[[#This Row],[Pcode]],CampList[CP_Pcode],0)-1,0,1,1)</f>
        <v>919</v>
      </c>
      <c r="G9" s="106">
        <f>SUMIF('NFI Distributions'!AU$53:AU$1048576,Table10[[#This Row],[Pcode]],'NFI Distributions'!AM$53:AM$1048576)</f>
        <v>0</v>
      </c>
      <c r="H9" s="106">
        <f>SUMIF('NFI Distributions'!AU$53:AU$1048576,Table10[[#This Row],[Pcode]],'NFI Distributions'!AN$53:AN$1048576)</f>
        <v>0</v>
      </c>
      <c r="I9" s="106">
        <f>SUMIF('NFI Distributions'!AU$53:AU$1048576,Table10[[#This Row],[Pcode]],'NFI Distributions'!AO$53:AO$1048576)</f>
        <v>0</v>
      </c>
      <c r="J9" s="106">
        <f ca="1">MAX(Table10[[#This Row],[HH]]*VLOOKUP("Winter Clothes Adult",NFI,6)-Table10[[#This Row],[Winter Clothes Adult ]],0)</f>
        <v>308</v>
      </c>
      <c r="K9" s="106">
        <f ca="1">MAX(Table10[[#This Row],[HH]]*VLOOKUP("Winter Clothes Children ",NFI,6)-Table10[[#This Row],[Winter Clothes Children ]],0)</f>
        <v>154</v>
      </c>
      <c r="L9" s="106">
        <f ca="1">MAX(Table10[[#This Row],[HH]]*VLOOKUP("Winter Items Other ",NFI,6)-Table10[[#This Row],[Winter Items Other ]],0)</f>
        <v>154</v>
      </c>
      <c r="M9" s="114" t="str">
        <f>IF(OR(Table10[[#This Row],[Winter Clothes Adult ]]&lt;&gt;0,Table10[[#This Row],[Winter Clothes Children ]]&lt;&gt;0,Table10[[#This Row],[Winter Items Other ]]&lt;&gt;0),"No","")</f>
        <v/>
      </c>
      <c r="N9" s="115">
        <f>COUNTIF(A:A,Table10[[#This Row],[Pcode]])-1</f>
        <v>0</v>
      </c>
    </row>
    <row r="10" spans="1:20" x14ac:dyDescent="0.3">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163</v>
      </c>
      <c r="F10" s="7">
        <f ca="1">OFFSET(CampList[Total],MATCH(Table10[[#This Row],[Pcode]],CampList[CP_Pcode],0)-1,0,1,1)</f>
        <v>909</v>
      </c>
      <c r="G10" s="106">
        <f>SUMIF('NFI Distributions'!AU$53:AU$1048576,Table10[[#This Row],[Pcode]],'NFI Distributions'!AM$53:AM$1048576)</f>
        <v>0</v>
      </c>
      <c r="H10" s="106">
        <f>SUMIF('NFI Distributions'!AU$53:AU$1048576,Table10[[#This Row],[Pcode]],'NFI Distributions'!AN$53:AN$1048576)</f>
        <v>0</v>
      </c>
      <c r="I10" s="106">
        <f>SUMIF('NFI Distributions'!AU$53:AU$1048576,Table10[[#This Row],[Pcode]],'NFI Distributions'!AO$53:AO$1048576)</f>
        <v>0</v>
      </c>
      <c r="J10" s="106">
        <f ca="1">MAX(Table10[[#This Row],[HH]]*VLOOKUP("Winter Clothes Adult",NFI,6)-Table10[[#This Row],[Winter Clothes Adult ]],0)</f>
        <v>326</v>
      </c>
      <c r="K10" s="106">
        <f ca="1">MAX(Table10[[#This Row],[HH]]*VLOOKUP("Winter Clothes Children ",NFI,6)-Table10[[#This Row],[Winter Clothes Children ]],0)</f>
        <v>163</v>
      </c>
      <c r="L10" s="106">
        <f ca="1">MAX(Table10[[#This Row],[HH]]*VLOOKUP("Winter Items Other ",NFI,6)-Table10[[#This Row],[Winter Items Other ]],0)</f>
        <v>163</v>
      </c>
      <c r="M10" s="114" t="str">
        <f>IF(OR(Table10[[#This Row],[Winter Clothes Adult ]]&lt;&gt;0,Table10[[#This Row],[Winter Clothes Children ]]&lt;&gt;0,Table10[[#This Row],[Winter Items Other ]]&lt;&gt;0),"No","")</f>
        <v/>
      </c>
      <c r="N10" s="115">
        <f>COUNTIF(A:A,Table10[[#This Row],[Pcode]])-1</f>
        <v>0</v>
      </c>
    </row>
    <row r="11" spans="1:20" x14ac:dyDescent="0.3">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88</v>
      </c>
      <c r="F11" s="7">
        <f ca="1">OFFSET(CampList[Total],MATCH(Table10[[#This Row],[Pcode]],CampList[CP_Pcode],0)-1,0,1,1)</f>
        <v>558</v>
      </c>
      <c r="G11" s="106">
        <f>SUMIF('NFI Distributions'!AU$53:AU$1048576,Table10[[#This Row],[Pcode]],'NFI Distributions'!AM$53:AM$1048576)</f>
        <v>0</v>
      </c>
      <c r="H11" s="106">
        <f>SUMIF('NFI Distributions'!AU$53:AU$1048576,Table10[[#This Row],[Pcode]],'NFI Distributions'!AN$53:AN$1048576)</f>
        <v>0</v>
      </c>
      <c r="I11" s="106">
        <f>SUMIF('NFI Distributions'!AU$53:AU$1048576,Table10[[#This Row],[Pcode]],'NFI Distributions'!AO$53:AO$1048576)</f>
        <v>0</v>
      </c>
      <c r="J11" s="106">
        <f ca="1">MAX(Table10[[#This Row],[HH]]*VLOOKUP("Winter Clothes Adult",NFI,6)-Table10[[#This Row],[Winter Clothes Adult ]],0)</f>
        <v>176</v>
      </c>
      <c r="K11" s="106">
        <f ca="1">MAX(Table10[[#This Row],[HH]]*VLOOKUP("Winter Clothes Children ",NFI,6)-Table10[[#This Row],[Winter Clothes Children ]],0)</f>
        <v>88</v>
      </c>
      <c r="L11" s="106">
        <f ca="1">MAX(Table10[[#This Row],[HH]]*VLOOKUP("Winter Items Other ",NFI,6)-Table10[[#This Row],[Winter Items Other ]],0)</f>
        <v>88</v>
      </c>
      <c r="M11" s="114" t="str">
        <f>IF(OR(Table10[[#This Row],[Winter Clothes Adult ]]&lt;&gt;0,Table10[[#This Row],[Winter Clothes Children ]]&lt;&gt;0,Table10[[#This Row],[Winter Items Other ]]&lt;&gt;0),"No","")</f>
        <v/>
      </c>
      <c r="N11" s="115">
        <f>COUNTIF(A:A,Table10[[#This Row],[Pcode]])-1</f>
        <v>0</v>
      </c>
    </row>
    <row r="12" spans="1:20" x14ac:dyDescent="0.3">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125</v>
      </c>
      <c r="F12" s="7">
        <f ca="1">OFFSET(CampList[Total],MATCH(Table10[[#This Row],[Pcode]],CampList[CP_Pcode],0)-1,0,1,1)</f>
        <v>483</v>
      </c>
      <c r="G12" s="106">
        <f>SUMIF('NFI Distributions'!AU$53:AU$1048576,Table10[[#This Row],[Pcode]],'NFI Distributions'!AM$53:AM$1048576)</f>
        <v>0</v>
      </c>
      <c r="H12" s="106">
        <f>SUMIF('NFI Distributions'!AU$53:AU$1048576,Table10[[#This Row],[Pcode]],'NFI Distributions'!AN$53:AN$1048576)</f>
        <v>0</v>
      </c>
      <c r="I12" s="106">
        <f>SUMIF('NFI Distributions'!AU$53:AU$1048576,Table10[[#This Row],[Pcode]],'NFI Distributions'!AO$53:AO$1048576)</f>
        <v>0</v>
      </c>
      <c r="J12" s="106">
        <f ca="1">MAX(Table10[[#This Row],[HH]]*VLOOKUP("Winter Clothes Adult",NFI,6)-Table10[[#This Row],[Winter Clothes Adult ]],0)</f>
        <v>250</v>
      </c>
      <c r="K12" s="106">
        <f ca="1">MAX(Table10[[#This Row],[HH]]*VLOOKUP("Winter Clothes Children ",NFI,6)-Table10[[#This Row],[Winter Clothes Children ]],0)</f>
        <v>125</v>
      </c>
      <c r="L12" s="106">
        <f ca="1">MAX(Table10[[#This Row],[HH]]*VLOOKUP("Winter Items Other ",NFI,6)-Table10[[#This Row],[Winter Items Other ]],0)</f>
        <v>125</v>
      </c>
      <c r="M12" s="114" t="str">
        <f>IF(OR(Table10[[#This Row],[Winter Clothes Adult ]]&lt;&gt;0,Table10[[#This Row],[Winter Clothes Children ]]&lt;&gt;0,Table10[[#This Row],[Winter Items Other ]]&lt;&gt;0),"No","")</f>
        <v/>
      </c>
      <c r="N12" s="115">
        <f>COUNTIF(A:A,Table10[[#This Row],[Pcode]])-1</f>
        <v>0</v>
      </c>
    </row>
    <row r="13" spans="1:20" x14ac:dyDescent="0.3">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181</v>
      </c>
      <c r="F13" s="7">
        <f ca="1">OFFSET(CampList[Total],MATCH(Table10[[#This Row],[Pcode]],CampList[CP_Pcode],0)-1,0,1,1)</f>
        <v>1001</v>
      </c>
      <c r="G13" s="106">
        <f>SUMIF('NFI Distributions'!AU$53:AU$1048576,Table10[[#This Row],[Pcode]],'NFI Distributions'!AM$53:AM$1048576)</f>
        <v>0</v>
      </c>
      <c r="H13" s="106">
        <f>SUMIF('NFI Distributions'!AU$53:AU$1048576,Table10[[#This Row],[Pcode]],'NFI Distributions'!AN$53:AN$1048576)</f>
        <v>0</v>
      </c>
      <c r="I13" s="106">
        <f>SUMIF('NFI Distributions'!AU$53:AU$1048576,Table10[[#This Row],[Pcode]],'NFI Distributions'!AO$53:AO$1048576)</f>
        <v>0</v>
      </c>
      <c r="J13" s="106">
        <f ca="1">MAX(Table10[[#This Row],[HH]]*VLOOKUP("Winter Clothes Adult",NFI,6)-Table10[[#This Row],[Winter Clothes Adult ]],0)</f>
        <v>362</v>
      </c>
      <c r="K13" s="106">
        <f ca="1">MAX(Table10[[#This Row],[HH]]*VLOOKUP("Winter Clothes Children ",NFI,6)-Table10[[#This Row],[Winter Clothes Children ]],0)</f>
        <v>181</v>
      </c>
      <c r="L13" s="106">
        <f ca="1">MAX(Table10[[#This Row],[HH]]*VLOOKUP("Winter Items Other ",NFI,6)-Table10[[#This Row],[Winter Items Other ]],0)</f>
        <v>181</v>
      </c>
      <c r="M13" s="114" t="str">
        <f>IF(OR(Table10[[#This Row],[Winter Clothes Adult ]]&lt;&gt;0,Table10[[#This Row],[Winter Clothes Children ]]&lt;&gt;0,Table10[[#This Row],[Winter Items Other ]]&lt;&gt;0),"No","")</f>
        <v/>
      </c>
      <c r="N13" s="115">
        <f>COUNTIF(A:A,Table10[[#This Row],[Pcode]])-1</f>
        <v>0</v>
      </c>
    </row>
    <row r="14" spans="1:20" x14ac:dyDescent="0.3">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06">
        <f>SUMIF('NFI Distributions'!AU$53:AU$1048576,Table10[[#This Row],[Pcode]],'NFI Distributions'!AM$53:AM$1048576)</f>
        <v>0</v>
      </c>
      <c r="H14" s="106">
        <f>SUMIF('NFI Distributions'!AU$53:AU$1048576,Table10[[#This Row],[Pcode]],'NFI Distributions'!AN$53:AN$1048576)</f>
        <v>0</v>
      </c>
      <c r="I14" s="106">
        <f>SUMIF('NFI Distributions'!AU$53:AU$1048576,Table10[[#This Row],[Pcode]],'NFI Distributions'!AO$53:AO$1048576)</f>
        <v>0</v>
      </c>
      <c r="J14" s="106">
        <f ca="1">MAX(Table10[[#This Row],[HH]]*VLOOKUP("Winter Clothes Adult",NFI,6)-Table10[[#This Row],[Winter Clothes Adult ]],0)</f>
        <v>712</v>
      </c>
      <c r="K14" s="106">
        <f ca="1">MAX(Table10[[#This Row],[HH]]*VLOOKUP("Winter Clothes Children ",NFI,6)-Table10[[#This Row],[Winter Clothes Children ]],0)</f>
        <v>356</v>
      </c>
      <c r="L14" s="106">
        <f ca="1">MAX(Table10[[#This Row],[HH]]*VLOOKUP("Winter Items Other ",NFI,6)-Table10[[#This Row],[Winter Items Other ]],0)</f>
        <v>356</v>
      </c>
      <c r="M14" s="114" t="str">
        <f>IF(OR(Table10[[#This Row],[Winter Clothes Adult ]]&lt;&gt;0,Table10[[#This Row],[Winter Clothes Children ]]&lt;&gt;0,Table10[[#This Row],[Winter Items Other ]]&lt;&gt;0),"No","")</f>
        <v/>
      </c>
      <c r="N14" s="115">
        <f>COUNTIF(A:A,Table10[[#This Row],[Pcode]])-1</f>
        <v>0</v>
      </c>
    </row>
    <row r="15" spans="1:20" x14ac:dyDescent="0.3">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42</v>
      </c>
      <c r="F15" s="7">
        <f ca="1">OFFSET(CampList[Total],MATCH(Table10[[#This Row],[Pcode]],CampList[CP_Pcode],0)-1,0,1,1)</f>
        <v>234</v>
      </c>
      <c r="G15" s="106">
        <f>SUMIF('NFI Distributions'!AU$53:AU$1048576,Table10[[#This Row],[Pcode]],'NFI Distributions'!AM$53:AM$1048576)</f>
        <v>0</v>
      </c>
      <c r="H15" s="106">
        <f>SUMIF('NFI Distributions'!AU$53:AU$1048576,Table10[[#This Row],[Pcode]],'NFI Distributions'!AN$53:AN$1048576)</f>
        <v>0</v>
      </c>
      <c r="I15" s="106">
        <f>SUMIF('NFI Distributions'!AU$53:AU$1048576,Table10[[#This Row],[Pcode]],'NFI Distributions'!AO$53:AO$1048576)</f>
        <v>0</v>
      </c>
      <c r="J15" s="106">
        <f ca="1">MAX(Table10[[#This Row],[HH]]*VLOOKUP("Winter Clothes Adult",NFI,6)-Table10[[#This Row],[Winter Clothes Adult ]],0)</f>
        <v>84</v>
      </c>
      <c r="K15" s="106">
        <f ca="1">MAX(Table10[[#This Row],[HH]]*VLOOKUP("Winter Clothes Children ",NFI,6)-Table10[[#This Row],[Winter Clothes Children ]],0)</f>
        <v>42</v>
      </c>
      <c r="L15" s="106">
        <f ca="1">MAX(Table10[[#This Row],[HH]]*VLOOKUP("Winter Items Other ",NFI,6)-Table10[[#This Row],[Winter Items Other ]],0)</f>
        <v>42</v>
      </c>
      <c r="M15" s="114" t="str">
        <f>IF(OR(Table10[[#This Row],[Winter Clothes Adult ]]&lt;&gt;0,Table10[[#This Row],[Winter Clothes Children ]]&lt;&gt;0,Table10[[#This Row],[Winter Items Other ]]&lt;&gt;0),"No","")</f>
        <v/>
      </c>
      <c r="N15" s="115">
        <f>COUNTIF(A:A,Table10[[#This Row],[Pcode]])-1</f>
        <v>0</v>
      </c>
    </row>
    <row r="16" spans="1:20" x14ac:dyDescent="0.3">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Distributions'!AU$53:AU$1048576,Table10[[#This Row],[Pcode]],'NFI Distributions'!AM$53:AM$1048576)</f>
        <v>0</v>
      </c>
      <c r="H16" s="106">
        <f>SUMIF('NFI Distributions'!AU$53:AU$1048576,Table10[[#This Row],[Pcode]],'NFI Distributions'!AN$53:AN$1048576)</f>
        <v>0</v>
      </c>
      <c r="I16" s="106">
        <f>SUMIF('NFI Distributions'!AU$53:AU$1048576,Table10[[#This Row],[Pcode]],'NFI Distributions'!AO$53:AO$1048576)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22" t="s">
        <v>931</v>
      </c>
      <c r="S16" s="322" t="s">
        <v>932</v>
      </c>
      <c r="T16" s="322" t="s">
        <v>933</v>
      </c>
    </row>
    <row r="17" spans="1:20" x14ac:dyDescent="0.3">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Distributions'!AU$53:AU$1048576,Table10[[#This Row],[Pcode]],'NFI Distributions'!AM$53:AM$1048576)</f>
        <v>0</v>
      </c>
      <c r="H17" s="106">
        <f>SUMIF('NFI Distributions'!AU$53:AU$1048576,Table10[[#This Row],[Pcode]],'NFI Distributions'!AN$53:AN$1048576)</f>
        <v>0</v>
      </c>
      <c r="I17" s="106">
        <f>SUMIF('NFI Distributions'!AU$53:AU$1048576,Table10[[#This Row],[Pcode]],'NFI Distributions'!AO$53:AO$1048576)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1563</v>
      </c>
      <c r="R17" s="172" t="e">
        <v>#N/A</v>
      </c>
      <c r="S17" s="172" t="e">
        <v>#N/A</v>
      </c>
      <c r="T17" s="172" t="e">
        <v>#N/A</v>
      </c>
    </row>
    <row r="18" spans="1:20" x14ac:dyDescent="0.3">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1729</v>
      </c>
      <c r="G18" s="106">
        <f>SUMIF('NFI Distributions'!AU$53:AU$1048576,Table10[[#This Row],[Pcode]],'NFI Distributions'!AM$53:AM$1048576)</f>
        <v>0</v>
      </c>
      <c r="H18" s="106">
        <f>SUMIF('NFI Distributions'!AU$53:AU$1048576,Table10[[#This Row],[Pcode]],'NFI Distributions'!AN$53:AN$1048576)</f>
        <v>0</v>
      </c>
      <c r="I18" s="106">
        <f>SUMIF('NFI Distributions'!AU$53:AU$1048576,Table10[[#This Row],[Pcode]],'NFI Distributions'!AO$53:AO$1048576)</f>
        <v>0</v>
      </c>
      <c r="J18" s="106">
        <f ca="1">MAX(Table10[[#This Row],[HH]]*VLOOKUP("Winter Clothes Adult",NFI,6)-Table10[[#This Row],[Winter Clothes Adult ]],0)</f>
        <v>730</v>
      </c>
      <c r="K18" s="106">
        <f ca="1">MAX(Table10[[#This Row],[HH]]*VLOOKUP("Winter Clothes Children ",NFI,6)-Table10[[#This Row],[Winter Clothes Children ]],0)</f>
        <v>365</v>
      </c>
      <c r="L18" s="106">
        <f ca="1">MAX(Table10[[#This Row],[HH]]*VLOOKUP("Winter Items Other ",NFI,6)-Table10[[#This Row],[Winter Items Other ]],0)</f>
        <v>365</v>
      </c>
      <c r="M18" s="114" t="str">
        <f>IF(OR(Table10[[#This Row],[Winter Clothes Adult ]]&lt;&gt;0,Table10[[#This Row],[Winter Clothes Children ]]&lt;&gt;0,Table10[[#This Row],[Winter Items Other ]]&lt;&gt;0),"No","")</f>
        <v/>
      </c>
      <c r="N18" s="115">
        <f>COUNTIF(A:A,Table10[[#This Row],[Pcode]])-1</f>
        <v>0</v>
      </c>
      <c r="Q18" s="104" t="s">
        <v>411</v>
      </c>
      <c r="R18" s="172" t="e">
        <v>#N/A</v>
      </c>
      <c r="S18" s="172" t="e">
        <v>#N/A</v>
      </c>
      <c r="T18" s="172" t="e">
        <v>#N/A</v>
      </c>
    </row>
    <row r="19" spans="1:20" x14ac:dyDescent="0.3">
      <c r="A19" s="102" t="s">
        <v>889</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Distributions'!AU$53:AU$1048576,Table10[[#This Row],[Pcode]],'NFI Distributions'!AM$53:AM$1048576)</f>
        <v>0</v>
      </c>
      <c r="H19" s="106">
        <f>SUMIF('NFI Distributions'!AU$53:AU$1048576,Table10[[#This Row],[Pcode]],'NFI Distributions'!AN$53:AN$1048576)</f>
        <v>0</v>
      </c>
      <c r="I19" s="106">
        <f>SUMIF('NFI Distributions'!AU$53:AU$1048576,Table10[[#This Row],[Pcode]],'NFI Distributions'!AO$53:AO$1048576)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3">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544</v>
      </c>
      <c r="F20" s="7">
        <f ca="1">OFFSET(CampList[Total],MATCH(Table10[[#This Row],[Pcode]],CampList[CP_Pcode],0)-1,0,1,1)</f>
        <v>2424</v>
      </c>
      <c r="G20" s="106">
        <f>SUMIF('NFI Distributions'!AU$53:AU$1048576,Table10[[#This Row],[Pcode]],'NFI Distributions'!AM$53:AM$1048576)</f>
        <v>0</v>
      </c>
      <c r="H20" s="106">
        <f>SUMIF('NFI Distributions'!AU$53:AU$1048576,Table10[[#This Row],[Pcode]],'NFI Distributions'!AN$53:AN$1048576)</f>
        <v>0</v>
      </c>
      <c r="I20" s="106">
        <f>SUMIF('NFI Distributions'!AU$53:AU$1048576,Table10[[#This Row],[Pcode]],'NFI Distributions'!AO$53:AO$1048576)</f>
        <v>0</v>
      </c>
      <c r="J20" s="106">
        <f ca="1">MAX(Table10[[#This Row],[HH]]*VLOOKUP("Winter Clothes Adult",NFI,6)-Table10[[#This Row],[Winter Clothes Adult ]],0)</f>
        <v>1088</v>
      </c>
      <c r="K20" s="106">
        <f ca="1">MAX(Table10[[#This Row],[HH]]*VLOOKUP("Winter Clothes Children ",NFI,6)-Table10[[#This Row],[Winter Clothes Children ]],0)</f>
        <v>544</v>
      </c>
      <c r="L20" s="106">
        <f ca="1">MAX(Table10[[#This Row],[HH]]*VLOOKUP("Winter Items Other ",NFI,6)-Table10[[#This Row],[Winter Items Other ]],0)</f>
        <v>544</v>
      </c>
      <c r="M20" s="114" t="str">
        <f>IF(OR(Table10[[#This Row],[Winter Clothes Adult ]]&lt;&gt;0,Table10[[#This Row],[Winter Clothes Children ]]&lt;&gt;0,Table10[[#This Row],[Winter Items Other ]]&lt;&gt;0),"No","")</f>
        <v/>
      </c>
      <c r="N20" s="115">
        <f>COUNTIF(A:A,Table10[[#This Row],[Pcode]])-1</f>
        <v>0</v>
      </c>
    </row>
    <row r="21" spans="1:20" x14ac:dyDescent="0.3">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Distributions'!AU$53:AU$1048576,Table10[[#This Row],[Pcode]],'NFI Distributions'!AM$53:AM$1048576)</f>
        <v>0</v>
      </c>
      <c r="H21" s="106">
        <f>SUMIF('NFI Distributions'!AU$53:AU$1048576,Table10[[#This Row],[Pcode]],'NFI Distributions'!AN$53:AN$1048576)</f>
        <v>0</v>
      </c>
      <c r="I21" s="106">
        <f>SUMIF('NFI Distributions'!AU$53:AU$1048576,Table10[[#This Row],[Pcode]],'NFI Distributions'!AO$53:AO$1048576)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3">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716</v>
      </c>
      <c r="F22" s="7">
        <f ca="1">OFFSET(CampList[Total],MATCH(Table10[[#This Row],[Pcode]],CampList[CP_Pcode],0)-1,0,1,1)</f>
        <v>3646</v>
      </c>
      <c r="G22" s="106">
        <f>SUMIF('NFI Distributions'!AU$53:AU$1048576,Table10[[#This Row],[Pcode]],'NFI Distributions'!AM$53:AM$1048576)</f>
        <v>0</v>
      </c>
      <c r="H22" s="106">
        <f>SUMIF('NFI Distributions'!AU$53:AU$1048576,Table10[[#This Row],[Pcode]],'NFI Distributions'!AN$53:AN$1048576)</f>
        <v>0</v>
      </c>
      <c r="I22" s="106">
        <f>SUMIF('NFI Distributions'!AU$53:AU$1048576,Table10[[#This Row],[Pcode]],'NFI Distributions'!AO$53:AO$1048576)</f>
        <v>0</v>
      </c>
      <c r="J22" s="106">
        <f ca="1">MAX(Table10[[#This Row],[HH]]*VLOOKUP("Winter Clothes Adult",NFI,6)-Table10[[#This Row],[Winter Clothes Adult ]],0)</f>
        <v>1432</v>
      </c>
      <c r="K22" s="106">
        <f ca="1">MAX(Table10[[#This Row],[HH]]*VLOOKUP("Winter Clothes Children ",NFI,6)-Table10[[#This Row],[Winter Clothes Children ]],0)</f>
        <v>716</v>
      </c>
      <c r="L22" s="106">
        <f ca="1">MAX(Table10[[#This Row],[HH]]*VLOOKUP("Winter Items Other ",NFI,6)-Table10[[#This Row],[Winter Items Other ]],0)</f>
        <v>716</v>
      </c>
      <c r="M22" s="114" t="str">
        <f>IF(OR(Table10[[#This Row],[Winter Clothes Adult ]]&lt;&gt;0,Table10[[#This Row],[Winter Clothes Children ]]&lt;&gt;0,Table10[[#This Row],[Winter Items Other ]]&lt;&gt;0),"No","")</f>
        <v/>
      </c>
      <c r="N22" s="115">
        <f>COUNTIF(A:A,Table10[[#This Row],[Pcode]])-1</f>
        <v>0</v>
      </c>
    </row>
    <row r="23" spans="1:20" x14ac:dyDescent="0.3">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1497</v>
      </c>
      <c r="F23" s="7">
        <f ca="1">OFFSET(CampList[Total],MATCH(Table10[[#This Row],[Pcode]],CampList[CP_Pcode],0)-1,0,1,1)</f>
        <v>8461</v>
      </c>
      <c r="G23" s="106">
        <f>SUMIF('NFI Distributions'!AU$53:AU$1048576,Table10[[#This Row],[Pcode]],'NFI Distributions'!AM$53:AM$1048576)</f>
        <v>0</v>
      </c>
      <c r="H23" s="106">
        <f>SUMIF('NFI Distributions'!AU$53:AU$1048576,Table10[[#This Row],[Pcode]],'NFI Distributions'!AN$53:AN$1048576)</f>
        <v>0</v>
      </c>
      <c r="I23" s="106">
        <f>SUMIF('NFI Distributions'!AU$53:AU$1048576,Table10[[#This Row],[Pcode]],'NFI Distributions'!AO$53:AO$1048576)</f>
        <v>0</v>
      </c>
      <c r="J23" s="106">
        <f ca="1">MAX(Table10[[#This Row],[HH]]*VLOOKUP("Winter Clothes Adult",NFI,6)-Table10[[#This Row],[Winter Clothes Adult ]],0)</f>
        <v>2994</v>
      </c>
      <c r="K23" s="106">
        <f ca="1">MAX(Table10[[#This Row],[HH]]*VLOOKUP("Winter Clothes Children ",NFI,6)-Table10[[#This Row],[Winter Clothes Children ]],0)</f>
        <v>1497</v>
      </c>
      <c r="L23" s="106">
        <f ca="1">MAX(Table10[[#This Row],[HH]]*VLOOKUP("Winter Items Other ",NFI,6)-Table10[[#This Row],[Winter Items Other ]],0)</f>
        <v>1497</v>
      </c>
      <c r="M23" s="114" t="str">
        <f>IF(OR(Table10[[#This Row],[Winter Clothes Adult ]]&lt;&gt;0,Table10[[#This Row],[Winter Clothes Children ]]&lt;&gt;0,Table10[[#This Row],[Winter Items Other ]]&lt;&gt;0),"No","")</f>
        <v/>
      </c>
      <c r="N23" s="115">
        <f>COUNTIF(A:A,Table10[[#This Row],[Pcode]])-1</f>
        <v>0</v>
      </c>
    </row>
    <row r="24" spans="1:20" x14ac:dyDescent="0.3">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651</v>
      </c>
      <c r="F24" s="7">
        <f ca="1">OFFSET(CampList[Total],MATCH(Table10[[#This Row],[Pcode]],CampList[CP_Pcode],0)-1,0,1,1)</f>
        <v>3631</v>
      </c>
      <c r="G24" s="106">
        <f>SUMIF('NFI Distributions'!AU$53:AU$1048576,Table10[[#This Row],[Pcode]],'NFI Distributions'!AM$53:AM$1048576)</f>
        <v>0</v>
      </c>
      <c r="H24" s="106">
        <f>SUMIF('NFI Distributions'!AU$53:AU$1048576,Table10[[#This Row],[Pcode]],'NFI Distributions'!AN$53:AN$1048576)</f>
        <v>0</v>
      </c>
      <c r="I24" s="106">
        <f>SUMIF('NFI Distributions'!AU$53:AU$1048576,Table10[[#This Row],[Pcode]],'NFI Distributions'!AO$53:AO$1048576)</f>
        <v>0</v>
      </c>
      <c r="J24" s="106">
        <f ca="1">MAX(Table10[[#This Row],[HH]]*VLOOKUP("Winter Clothes Adult",NFI,6)-Table10[[#This Row],[Winter Clothes Adult ]],0)</f>
        <v>1302</v>
      </c>
      <c r="K24" s="106">
        <f ca="1">MAX(Table10[[#This Row],[HH]]*VLOOKUP("Winter Clothes Children ",NFI,6)-Table10[[#This Row],[Winter Clothes Children ]],0)</f>
        <v>651</v>
      </c>
      <c r="L24" s="106">
        <f ca="1">MAX(Table10[[#This Row],[HH]]*VLOOKUP("Winter Items Other ",NFI,6)-Table10[[#This Row],[Winter Items Other ]],0)</f>
        <v>651</v>
      </c>
      <c r="M24" s="114" t="str">
        <f>IF(OR(Table10[[#This Row],[Winter Clothes Adult ]]&lt;&gt;0,Table10[[#This Row],[Winter Clothes Children ]]&lt;&gt;0,Table10[[#This Row],[Winter Items Other ]]&lt;&gt;0),"No","")</f>
        <v/>
      </c>
      <c r="N24" s="115">
        <f>COUNTIF(A:A,Table10[[#This Row],[Pcode]])-1</f>
        <v>0</v>
      </c>
    </row>
    <row r="25" spans="1:20" x14ac:dyDescent="0.3">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93</v>
      </c>
      <c r="F25" s="7">
        <f ca="1">OFFSET(CampList[Total],MATCH(Table10[[#This Row],[Pcode]],CampList[CP_Pcode],0)-1,0,1,1)</f>
        <v>428</v>
      </c>
      <c r="G25" s="106">
        <f>SUMIF('NFI Distributions'!AU$53:AU$1048576,Table10[[#This Row],[Pcode]],'NFI Distributions'!AM$53:AM$1048576)</f>
        <v>0</v>
      </c>
      <c r="H25" s="106">
        <f>SUMIF('NFI Distributions'!AU$53:AU$1048576,Table10[[#This Row],[Pcode]],'NFI Distributions'!AN$53:AN$1048576)</f>
        <v>0</v>
      </c>
      <c r="I25" s="106">
        <f>SUMIF('NFI Distributions'!AU$53:AU$1048576,Table10[[#This Row],[Pcode]],'NFI Distributions'!AO$53:AO$1048576)</f>
        <v>0</v>
      </c>
      <c r="J25" s="106">
        <f ca="1">MAX(Table10[[#This Row],[HH]]*VLOOKUP("Winter Clothes Adult",NFI,6)-Table10[[#This Row],[Winter Clothes Adult ]],0)</f>
        <v>186</v>
      </c>
      <c r="K25" s="106">
        <f ca="1">MAX(Table10[[#This Row],[HH]]*VLOOKUP("Winter Clothes Children ",NFI,6)-Table10[[#This Row],[Winter Clothes Children ]],0)</f>
        <v>93</v>
      </c>
      <c r="L25" s="106">
        <f ca="1">MAX(Table10[[#This Row],[HH]]*VLOOKUP("Winter Items Other ",NFI,6)-Table10[[#This Row],[Winter Items Other ]],0)</f>
        <v>93</v>
      </c>
      <c r="M25" s="114" t="str">
        <f>IF(OR(Table10[[#This Row],[Winter Clothes Adult ]]&lt;&gt;0,Table10[[#This Row],[Winter Clothes Children ]]&lt;&gt;0,Table10[[#This Row],[Winter Items Other ]]&lt;&gt;0),"No","")</f>
        <v/>
      </c>
      <c r="N25" s="115">
        <f>COUNTIF(A:A,Table10[[#This Row],[Pcode]])-1</f>
        <v>0</v>
      </c>
    </row>
    <row r="26" spans="1:20" x14ac:dyDescent="0.3">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Distributions'!AU$53:AU$1048576,Table10[[#This Row],[Pcode]],'NFI Distributions'!AM$53:AM$1048576)</f>
        <v>0</v>
      </c>
      <c r="H26" s="106">
        <f>SUMIF('NFI Distributions'!AU$53:AU$1048576,Table10[[#This Row],[Pcode]],'NFI Distributions'!AN$53:AN$1048576)</f>
        <v>0</v>
      </c>
      <c r="I26" s="106">
        <f>SUMIF('NFI Distributions'!AU$53:AU$1048576,Table10[[#This Row],[Pcode]],'NFI Distributions'!AO$53:AO$1048576)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3">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Distributions'!AU$53:AU$1048576,Table10[[#This Row],[Pcode]],'NFI Distributions'!AM$53:AM$1048576)</f>
        <v>0</v>
      </c>
      <c r="H27" s="106">
        <f>SUMIF('NFI Distributions'!AU$53:AU$1048576,Table10[[#This Row],[Pcode]],'NFI Distributions'!AN$53:AN$1048576)</f>
        <v>0</v>
      </c>
      <c r="I27" s="106">
        <f>SUMIF('NFI Distributions'!AU$53:AU$1048576,Table10[[#This Row],[Pcode]],'NFI Distributions'!AO$53:AO$1048576)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3">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Distributions'!AU$53:AU$1048576,Table10[[#This Row],[Pcode]],'NFI Distributions'!AM$53:AM$1048576)</f>
        <v>0</v>
      </c>
      <c r="H28" s="106">
        <f>SUMIF('NFI Distributions'!AU$53:AU$1048576,Table10[[#This Row],[Pcode]],'NFI Distributions'!AN$53:AN$1048576)</f>
        <v>0</v>
      </c>
      <c r="I28" s="106">
        <f>SUMIF('NFI Distributions'!AU$53:AU$1048576,Table10[[#This Row],[Pcode]],'NFI Distributions'!AO$53:AO$1048576)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3">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418</v>
      </c>
      <c r="F29" s="7">
        <f ca="1">OFFSET(CampList[Total],MATCH(Table10[[#This Row],[Pcode]],CampList[CP_Pcode],0)-1,0,1,1)</f>
        <v>1569</v>
      </c>
      <c r="G29" s="106">
        <f>SUMIF('NFI Distributions'!AU$53:AU$1048576,Table10[[#This Row],[Pcode]],'NFI Distributions'!AM$53:AM$1048576)</f>
        <v>0</v>
      </c>
      <c r="H29" s="106">
        <f>SUMIF('NFI Distributions'!AU$53:AU$1048576,Table10[[#This Row],[Pcode]],'NFI Distributions'!AN$53:AN$1048576)</f>
        <v>0</v>
      </c>
      <c r="I29" s="106">
        <f>SUMIF('NFI Distributions'!AU$53:AU$1048576,Table10[[#This Row],[Pcode]],'NFI Distributions'!AO$53:AO$1048576)</f>
        <v>0</v>
      </c>
      <c r="J29" s="106">
        <f ca="1">MAX(Table10[[#This Row],[HH]]*VLOOKUP("Winter Clothes Adult",NFI,6)-Table10[[#This Row],[Winter Clothes Adult ]],0)</f>
        <v>836</v>
      </c>
      <c r="K29" s="106">
        <f ca="1">MAX(Table10[[#This Row],[HH]]*VLOOKUP("Winter Clothes Children ",NFI,6)-Table10[[#This Row],[Winter Clothes Children ]],0)</f>
        <v>418</v>
      </c>
      <c r="L29" s="106">
        <f ca="1">MAX(Table10[[#This Row],[HH]]*VLOOKUP("Winter Items Other ",NFI,6)-Table10[[#This Row],[Winter Items Other ]],0)</f>
        <v>418</v>
      </c>
      <c r="M29" s="114" t="str">
        <f>IF(OR(Table10[[#This Row],[Winter Clothes Adult ]]&lt;&gt;0,Table10[[#This Row],[Winter Clothes Children ]]&lt;&gt;0,Table10[[#This Row],[Winter Items Other ]]&lt;&gt;0),"No","")</f>
        <v/>
      </c>
      <c r="N29" s="115">
        <f>COUNTIF(A:A,Table10[[#This Row],[Pcode]])-1</f>
        <v>0</v>
      </c>
    </row>
    <row r="30" spans="1:20" x14ac:dyDescent="0.3">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182</v>
      </c>
      <c r="G30" s="106">
        <f>SUMIF('NFI Distributions'!AU$53:AU$1048576,Table10[[#This Row],[Pcode]],'NFI Distributions'!AM$53:AM$1048576)</f>
        <v>0</v>
      </c>
      <c r="H30" s="106">
        <f>SUMIF('NFI Distributions'!AU$53:AU$1048576,Table10[[#This Row],[Pcode]],'NFI Distributions'!AN$53:AN$1048576)</f>
        <v>0</v>
      </c>
      <c r="I30" s="106">
        <f>SUMIF('NFI Distributions'!AU$53:AU$1048576,Table10[[#This Row],[Pcode]],'NFI Distributions'!AO$53:AO$1048576)</f>
        <v>0</v>
      </c>
      <c r="J30" s="106">
        <f ca="1">MAX(Table10[[#This Row],[HH]]*VLOOKUP("Winter Clothes Adult",NFI,6)-Table10[[#This Row],[Winter Clothes Adult ]],0)</f>
        <v>66</v>
      </c>
      <c r="K30" s="106">
        <f ca="1">MAX(Table10[[#This Row],[HH]]*VLOOKUP("Winter Clothes Children ",NFI,6)-Table10[[#This Row],[Winter Clothes Children ]],0)</f>
        <v>33</v>
      </c>
      <c r="L30" s="106">
        <f ca="1">MAX(Table10[[#This Row],[HH]]*VLOOKUP("Winter Items Other ",NFI,6)-Table10[[#This Row],[Winter Items Other ]],0)</f>
        <v>33</v>
      </c>
      <c r="M30" s="114" t="str">
        <f>IF(OR(Table10[[#This Row],[Winter Clothes Adult ]]&lt;&gt;0,Table10[[#This Row],[Winter Clothes Children ]]&lt;&gt;0,Table10[[#This Row],[Winter Items Other ]]&lt;&gt;0),"No","")</f>
        <v/>
      </c>
      <c r="N30" s="115">
        <f>COUNTIF(A:A,Table10[[#This Row],[Pcode]])-1</f>
        <v>0</v>
      </c>
    </row>
    <row r="31" spans="1:20" x14ac:dyDescent="0.3">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Distributions'!AU$53:AU$1048576,Table10[[#This Row],[Pcode]],'NFI Distributions'!AM$53:AM$1048576)</f>
        <v>0</v>
      </c>
      <c r="H31" s="106">
        <f>SUMIF('NFI Distributions'!AU$53:AU$1048576,Table10[[#This Row],[Pcode]],'NFI Distributions'!AN$53:AN$1048576)</f>
        <v>0</v>
      </c>
      <c r="I31" s="106">
        <f>SUMIF('NFI Distributions'!AU$53:AU$1048576,Table10[[#This Row],[Pcode]],'NFI Distributions'!AO$53:AO$1048576)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3">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240</v>
      </c>
      <c r="G32" s="106">
        <f>SUMIF('NFI Distributions'!AU$53:AU$1048576,Table10[[#This Row],[Pcode]],'NFI Distributions'!AM$53:AM$1048576)</f>
        <v>0</v>
      </c>
      <c r="H32" s="106">
        <f>SUMIF('NFI Distributions'!AU$53:AU$1048576,Table10[[#This Row],[Pcode]],'NFI Distributions'!AN$53:AN$1048576)</f>
        <v>0</v>
      </c>
      <c r="I32" s="106">
        <f>SUMIF('NFI Distributions'!AU$53:AU$1048576,Table10[[#This Row],[Pcode]],'NFI Distributions'!AO$53:AO$1048576)</f>
        <v>0</v>
      </c>
      <c r="J32" s="106">
        <f ca="1">MAX(Table10[[#This Row],[HH]]*VLOOKUP("Winter Clothes Adult",NFI,6)-Table10[[#This Row],[Winter Clothes Adult ]],0)</f>
        <v>80</v>
      </c>
      <c r="K32" s="106">
        <f ca="1">MAX(Table10[[#This Row],[HH]]*VLOOKUP("Winter Clothes Children ",NFI,6)-Table10[[#This Row],[Winter Clothes Children ]],0)</f>
        <v>40</v>
      </c>
      <c r="L32" s="106">
        <f ca="1">MAX(Table10[[#This Row],[HH]]*VLOOKUP("Winter Items Other ",NFI,6)-Table10[[#This Row],[Winter Items Other ]],0)</f>
        <v>40</v>
      </c>
      <c r="M32" s="114" t="str">
        <f>IF(OR(Table10[[#This Row],[Winter Clothes Adult ]]&lt;&gt;0,Table10[[#This Row],[Winter Clothes Children ]]&lt;&gt;0,Table10[[#This Row],[Winter Items Other ]]&lt;&gt;0),"No","")</f>
        <v/>
      </c>
      <c r="N32" s="115">
        <f>COUNTIF(A:A,Table10[[#This Row],[Pcode]])-1</f>
        <v>0</v>
      </c>
    </row>
    <row r="33" spans="1:14" x14ac:dyDescent="0.3">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6">
        <f>SUMIF('NFI Distributions'!AU$53:AU$1048576,Table10[[#This Row],[Pcode]],'NFI Distributions'!AM$53:AM$1048576)</f>
        <v>0</v>
      </c>
      <c r="H33" s="106">
        <f>SUMIF('NFI Distributions'!AU$53:AU$1048576,Table10[[#This Row],[Pcode]],'NFI Distributions'!AN$53:AN$1048576)</f>
        <v>0</v>
      </c>
      <c r="I33" s="106">
        <f>SUMIF('NFI Distributions'!AU$53:AU$1048576,Table10[[#This Row],[Pcode]],'NFI Distributions'!AO$53:AO$1048576)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3">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203</v>
      </c>
      <c r="F34" s="7">
        <f ca="1">OFFSET(CampList[Total],MATCH(Table10[[#This Row],[Pcode]],CampList[CP_Pcode],0)-1,0,1,1)</f>
        <v>1138</v>
      </c>
      <c r="G34" s="106">
        <f>SUMIF('NFI Distributions'!AU$53:AU$1048576,Table10[[#This Row],[Pcode]],'NFI Distributions'!AM$53:AM$1048576)</f>
        <v>0</v>
      </c>
      <c r="H34" s="106">
        <f>SUMIF('NFI Distributions'!AU$53:AU$1048576,Table10[[#This Row],[Pcode]],'NFI Distributions'!AN$53:AN$1048576)</f>
        <v>0</v>
      </c>
      <c r="I34" s="106">
        <f>SUMIF('NFI Distributions'!AU$53:AU$1048576,Table10[[#This Row],[Pcode]],'NFI Distributions'!AO$53:AO$1048576)</f>
        <v>0</v>
      </c>
      <c r="J34" s="106">
        <f ca="1">MAX(Table10[[#This Row],[HH]]*VLOOKUP("Winter Clothes Adult",NFI,6)-Table10[[#This Row],[Winter Clothes Adult ]],0)</f>
        <v>406</v>
      </c>
      <c r="K34" s="106">
        <f ca="1">MAX(Table10[[#This Row],[HH]]*VLOOKUP("Winter Clothes Children ",NFI,6)-Table10[[#This Row],[Winter Clothes Children ]],0)</f>
        <v>203</v>
      </c>
      <c r="L34" s="106">
        <f ca="1">MAX(Table10[[#This Row],[HH]]*VLOOKUP("Winter Items Other ",NFI,6)-Table10[[#This Row],[Winter Items Other ]],0)</f>
        <v>203</v>
      </c>
      <c r="M34" s="114" t="str">
        <f>IF(OR(Table10[[#This Row],[Winter Clothes Adult ]]&lt;&gt;0,Table10[[#This Row],[Winter Clothes Children ]]&lt;&gt;0,Table10[[#This Row],[Winter Items Other ]]&lt;&gt;0),"No","")</f>
        <v/>
      </c>
      <c r="N34" s="115">
        <f>COUNTIF(A:A,Table10[[#This Row],[Pcode]])-1</f>
        <v>0</v>
      </c>
    </row>
    <row r="35" spans="1:14" x14ac:dyDescent="0.3">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43</v>
      </c>
      <c r="F35" s="7">
        <f ca="1">OFFSET(CampList[Total],MATCH(Table10[[#This Row],[Pcode]],CampList[CP_Pcode],0)-1,0,1,1)</f>
        <v>269</v>
      </c>
      <c r="G35" s="106">
        <f>SUMIF('NFI Distributions'!AU$53:AU$1048576,Table10[[#This Row],[Pcode]],'NFI Distributions'!AM$53:AM$1048576)</f>
        <v>0</v>
      </c>
      <c r="H35" s="106">
        <f>SUMIF('NFI Distributions'!AU$53:AU$1048576,Table10[[#This Row],[Pcode]],'NFI Distributions'!AN$53:AN$1048576)</f>
        <v>0</v>
      </c>
      <c r="I35" s="106">
        <f>SUMIF('NFI Distributions'!AU$53:AU$1048576,Table10[[#This Row],[Pcode]],'NFI Distributions'!AO$53:AO$1048576)</f>
        <v>0</v>
      </c>
      <c r="J35" s="106">
        <f ca="1">MAX(Table10[[#This Row],[HH]]*VLOOKUP("Winter Clothes Adult",NFI,6)-Table10[[#This Row],[Winter Clothes Adult ]],0)</f>
        <v>86</v>
      </c>
      <c r="K35" s="106">
        <f ca="1">MAX(Table10[[#This Row],[HH]]*VLOOKUP("Winter Clothes Children ",NFI,6)-Table10[[#This Row],[Winter Clothes Children ]],0)</f>
        <v>43</v>
      </c>
      <c r="L35" s="106">
        <f ca="1">MAX(Table10[[#This Row],[HH]]*VLOOKUP("Winter Items Other ",NFI,6)-Table10[[#This Row],[Winter Items Other ]],0)</f>
        <v>43</v>
      </c>
      <c r="M35" s="114" t="str">
        <f>IF(OR(Table10[[#This Row],[Winter Clothes Adult ]]&lt;&gt;0,Table10[[#This Row],[Winter Clothes Children ]]&lt;&gt;0,Table10[[#This Row],[Winter Items Other ]]&lt;&gt;0),"No","")</f>
        <v/>
      </c>
      <c r="N35" s="115">
        <f>COUNTIF(A:A,Table10[[#This Row],[Pcode]])-1</f>
        <v>0</v>
      </c>
    </row>
    <row r="36" spans="1:14" x14ac:dyDescent="0.3">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48</v>
      </c>
      <c r="F36" s="7">
        <f ca="1">OFFSET(CampList[Total],MATCH(Table10[[#This Row],[Pcode]],CampList[CP_Pcode],0)-1,0,1,1)</f>
        <v>293</v>
      </c>
      <c r="G36" s="106">
        <f>SUMIF('NFI Distributions'!AU$53:AU$1048576,Table10[[#This Row],[Pcode]],'NFI Distributions'!AM$53:AM$1048576)</f>
        <v>0</v>
      </c>
      <c r="H36" s="106">
        <f>SUMIF('NFI Distributions'!AU$53:AU$1048576,Table10[[#This Row],[Pcode]],'NFI Distributions'!AN$53:AN$1048576)</f>
        <v>0</v>
      </c>
      <c r="I36" s="106">
        <f>SUMIF('NFI Distributions'!AU$53:AU$1048576,Table10[[#This Row],[Pcode]],'NFI Distributions'!AO$53:AO$1048576)</f>
        <v>0</v>
      </c>
      <c r="J36" s="106">
        <f ca="1">MAX(Table10[[#This Row],[HH]]*VLOOKUP("Winter Clothes Adult",NFI,6)-Table10[[#This Row],[Winter Clothes Adult ]],0)</f>
        <v>96</v>
      </c>
      <c r="K36" s="106">
        <f ca="1">MAX(Table10[[#This Row],[HH]]*VLOOKUP("Winter Clothes Children ",NFI,6)-Table10[[#This Row],[Winter Clothes Children ]],0)</f>
        <v>48</v>
      </c>
      <c r="L36" s="106">
        <f ca="1">MAX(Table10[[#This Row],[HH]]*VLOOKUP("Winter Items Other ",NFI,6)-Table10[[#This Row],[Winter Items Other ]],0)</f>
        <v>48</v>
      </c>
      <c r="M36" s="114" t="str">
        <f>IF(OR(Table10[[#This Row],[Winter Clothes Adult ]]&lt;&gt;0,Table10[[#This Row],[Winter Clothes Children ]]&lt;&gt;0,Table10[[#This Row],[Winter Items Other ]]&lt;&gt;0),"No","")</f>
        <v/>
      </c>
      <c r="N36" s="115">
        <f>COUNTIF(A:A,Table10[[#This Row],[Pcode]])-1</f>
        <v>0</v>
      </c>
    </row>
    <row r="37" spans="1:14" x14ac:dyDescent="0.3">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Distributions'!AU$53:AU$1048576,Table10[[#This Row],[Pcode]],'NFI Distributions'!AM$53:AM$1048576)</f>
        <v>0</v>
      </c>
      <c r="H37" s="106">
        <f>SUMIF('NFI Distributions'!AU$53:AU$1048576,Table10[[#This Row],[Pcode]],'NFI Distributions'!AN$53:AN$1048576)</f>
        <v>0</v>
      </c>
      <c r="I37" s="106">
        <f>SUMIF('NFI Distributions'!AU$53:AU$1048576,Table10[[#This Row],[Pcode]],'NFI Distributions'!AO$53:AO$1048576)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3">
      <c r="A38" s="102" t="s">
        <v>893</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Distributions'!AU$53:AU$1048576,Table10[[#This Row],[Pcode]],'NFI Distributions'!AM$53:AM$1048576)</f>
        <v>0</v>
      </c>
      <c r="H38" s="106">
        <f>SUMIF('NFI Distributions'!AU$53:AU$1048576,Table10[[#This Row],[Pcode]],'NFI Distributions'!AN$53:AN$1048576)</f>
        <v>0</v>
      </c>
      <c r="I38" s="106">
        <f>SUMIF('NFI Distributions'!AU$53:AU$1048576,Table10[[#This Row],[Pcode]],'NFI Distributions'!AO$53:AO$1048576)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3">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Distributions'!AU$53:AU$1048576,Table10[[#This Row],[Pcode]],'NFI Distributions'!AM$53:AM$1048576)</f>
        <v>0</v>
      </c>
      <c r="H39" s="106">
        <f>SUMIF('NFI Distributions'!AU$53:AU$1048576,Table10[[#This Row],[Pcode]],'NFI Distributions'!AN$53:AN$1048576)</f>
        <v>0</v>
      </c>
      <c r="I39" s="106">
        <f>SUMIF('NFI Distributions'!AU$53:AU$1048576,Table10[[#This Row],[Pcode]],'NFI Distributions'!AO$53:AO$1048576)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3">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6">
        <f>SUMIF('NFI Distributions'!AU$53:AU$1048576,Table10[[#This Row],[Pcode]],'NFI Distributions'!AM$53:AM$1048576)</f>
        <v>0</v>
      </c>
      <c r="H40" s="106">
        <f>SUMIF('NFI Distributions'!AU$53:AU$1048576,Table10[[#This Row],[Pcode]],'NFI Distributions'!AN$53:AN$1048576)</f>
        <v>0</v>
      </c>
      <c r="I40" s="106">
        <f>SUMIF('NFI Distributions'!AU$53:AU$1048576,Table10[[#This Row],[Pcode]],'NFI Distributions'!AO$53:AO$1048576)</f>
        <v>0</v>
      </c>
      <c r="J40" s="106">
        <f ca="1">MAX(Table10[[#This Row],[HH]]*VLOOKUP("Winter Clothes Adult",NFI,6)-Table10[[#This Row],[Winter Clothes Adult ]],0)</f>
        <v>28</v>
      </c>
      <c r="K40" s="106">
        <f ca="1">MAX(Table10[[#This Row],[HH]]*VLOOKUP("Winter Clothes Children ",NFI,6)-Table10[[#This Row],[Winter Clothes Children ]],0)</f>
        <v>14</v>
      </c>
      <c r="L40" s="106">
        <f ca="1">MAX(Table10[[#This Row],[HH]]*VLOOKUP("Winter Items Other ",NFI,6)-Table10[[#This Row],[Winter Items Other ]],0)</f>
        <v>14</v>
      </c>
      <c r="M40" s="114" t="str">
        <f>IF(OR(Table10[[#This Row],[Winter Clothes Adult ]]&lt;&gt;0,Table10[[#This Row],[Winter Clothes Children ]]&lt;&gt;0,Table10[[#This Row],[Winter Items Other ]]&lt;&gt;0),"No","")</f>
        <v/>
      </c>
      <c r="N40" s="115">
        <f>COUNTIF(A:A,Table10[[#This Row],[Pcode]])-1</f>
        <v>0</v>
      </c>
    </row>
    <row r="41" spans="1:14" x14ac:dyDescent="0.3">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Distributions'!AU$53:AU$1048576,Table10[[#This Row],[Pcode]],'NFI Distributions'!AM$53:AM$1048576)</f>
        <v>0</v>
      </c>
      <c r="H41" s="106">
        <f>SUMIF('NFI Distributions'!AU$53:AU$1048576,Table10[[#This Row],[Pcode]],'NFI Distributions'!AN$53:AN$1048576)</f>
        <v>0</v>
      </c>
      <c r="I41" s="106">
        <f>SUMIF('NFI Distributions'!AU$53:AU$1048576,Table10[[#This Row],[Pcode]],'NFI Distributions'!AO$53:AO$1048576)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3">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56</v>
      </c>
      <c r="F42" s="7">
        <f ca="1">OFFSET(CampList[Total],MATCH(Table10[[#This Row],[Pcode]],CampList[CP_Pcode],0)-1,0,1,1)</f>
        <v>264</v>
      </c>
      <c r="G42" s="106">
        <f>SUMIF('NFI Distributions'!AU$53:AU$1048576,Table10[[#This Row],[Pcode]],'NFI Distributions'!AM$53:AM$1048576)</f>
        <v>0</v>
      </c>
      <c r="H42" s="106">
        <f>SUMIF('NFI Distributions'!AU$53:AU$1048576,Table10[[#This Row],[Pcode]],'NFI Distributions'!AN$53:AN$1048576)</f>
        <v>0</v>
      </c>
      <c r="I42" s="106">
        <f>SUMIF('NFI Distributions'!AU$53:AU$1048576,Table10[[#This Row],[Pcode]],'NFI Distributions'!AO$53:AO$1048576)</f>
        <v>0</v>
      </c>
      <c r="J42" s="106">
        <f ca="1">MAX(Table10[[#This Row],[HH]]*VLOOKUP("Winter Clothes Adult",NFI,6)-Table10[[#This Row],[Winter Clothes Adult ]],0)</f>
        <v>112</v>
      </c>
      <c r="K42" s="106">
        <f ca="1">MAX(Table10[[#This Row],[HH]]*VLOOKUP("Winter Clothes Children ",NFI,6)-Table10[[#This Row],[Winter Clothes Children ]],0)</f>
        <v>56</v>
      </c>
      <c r="L42" s="106">
        <f ca="1">MAX(Table10[[#This Row],[HH]]*VLOOKUP("Winter Items Other ",NFI,6)-Table10[[#This Row],[Winter Items Other ]],0)</f>
        <v>56</v>
      </c>
      <c r="M42" s="114" t="str">
        <f>IF(OR(Table10[[#This Row],[Winter Clothes Adult ]]&lt;&gt;0,Table10[[#This Row],[Winter Clothes Children ]]&lt;&gt;0,Table10[[#This Row],[Winter Items Other ]]&lt;&gt;0),"No","")</f>
        <v/>
      </c>
      <c r="N42" s="115">
        <f>COUNTIF(A:A,Table10[[#This Row],[Pcode]])-1</f>
        <v>0</v>
      </c>
    </row>
    <row r="43" spans="1:14" x14ac:dyDescent="0.3">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06">
        <f>SUMIF('NFI Distributions'!AU$53:AU$1048576,Table10[[#This Row],[Pcode]],'NFI Distributions'!AM$53:AM$1048576)</f>
        <v>0</v>
      </c>
      <c r="H43" s="106">
        <f>SUMIF('NFI Distributions'!AU$53:AU$1048576,Table10[[#This Row],[Pcode]],'NFI Distributions'!AN$53:AN$1048576)</f>
        <v>0</v>
      </c>
      <c r="I43" s="106">
        <f>SUMIF('NFI Distributions'!AU$53:AU$1048576,Table10[[#This Row],[Pcode]],'NFI Distributions'!AO$53:AO$1048576)</f>
        <v>0</v>
      </c>
      <c r="J43" s="106">
        <f ca="1">MAX(Table10[[#This Row],[HH]]*VLOOKUP("Winter Clothes Adult",NFI,6)-Table10[[#This Row],[Winter Clothes Adult ]],0)</f>
        <v>58</v>
      </c>
      <c r="K43" s="106">
        <f ca="1">MAX(Table10[[#This Row],[HH]]*VLOOKUP("Winter Clothes Children ",NFI,6)-Table10[[#This Row],[Winter Clothes Children ]],0)</f>
        <v>29</v>
      </c>
      <c r="L43" s="106">
        <f ca="1">MAX(Table10[[#This Row],[HH]]*VLOOKUP("Winter Items Other ",NFI,6)-Table10[[#This Row],[Winter Items Other ]],0)</f>
        <v>29</v>
      </c>
      <c r="M43" s="114" t="str">
        <f>IF(OR(Table10[[#This Row],[Winter Clothes Adult ]]&lt;&gt;0,Table10[[#This Row],[Winter Clothes Children ]]&lt;&gt;0,Table10[[#This Row],[Winter Items Other ]]&lt;&gt;0),"No","")</f>
        <v/>
      </c>
      <c r="N43" s="115">
        <f>COUNTIF(A:A,Table10[[#This Row],[Pcode]])-1</f>
        <v>0</v>
      </c>
    </row>
    <row r="44" spans="1:14" x14ac:dyDescent="0.3">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338</v>
      </c>
      <c r="G44" s="106">
        <f>SUMIF('NFI Distributions'!AU$53:AU$1048576,Table10[[#This Row],[Pcode]],'NFI Distributions'!AM$53:AM$1048576)</f>
        <v>0</v>
      </c>
      <c r="H44" s="106">
        <f>SUMIF('NFI Distributions'!AU$53:AU$1048576,Table10[[#This Row],[Pcode]],'NFI Distributions'!AN$53:AN$1048576)</f>
        <v>0</v>
      </c>
      <c r="I44" s="106">
        <f>SUMIF('NFI Distributions'!AU$53:AU$1048576,Table10[[#This Row],[Pcode]],'NFI Distributions'!AO$53:AO$1048576)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3">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58</v>
      </c>
      <c r="F45" s="7">
        <f ca="1">OFFSET(CampList[Total],MATCH(Table10[[#This Row],[Pcode]],CampList[CP_Pcode],0)-1,0,1,1)</f>
        <v>273</v>
      </c>
      <c r="G45" s="106">
        <f>SUMIF('NFI Distributions'!AU$53:AU$1048576,Table10[[#This Row],[Pcode]],'NFI Distributions'!AM$53:AM$1048576)</f>
        <v>0</v>
      </c>
      <c r="H45" s="106">
        <f>SUMIF('NFI Distributions'!AU$53:AU$1048576,Table10[[#This Row],[Pcode]],'NFI Distributions'!AN$53:AN$1048576)</f>
        <v>0</v>
      </c>
      <c r="I45" s="106">
        <f>SUMIF('NFI Distributions'!AU$53:AU$1048576,Table10[[#This Row],[Pcode]],'NFI Distributions'!AO$53:AO$1048576)</f>
        <v>0</v>
      </c>
      <c r="J45" s="106">
        <f ca="1">MAX(Table10[[#This Row],[HH]]*VLOOKUP("Winter Clothes Adult",NFI,6)-Table10[[#This Row],[Winter Clothes Adult ]],0)</f>
        <v>116</v>
      </c>
      <c r="K45" s="106">
        <f ca="1">MAX(Table10[[#This Row],[HH]]*VLOOKUP("Winter Clothes Children ",NFI,6)-Table10[[#This Row],[Winter Clothes Children ]],0)</f>
        <v>58</v>
      </c>
      <c r="L45" s="106">
        <f ca="1">MAX(Table10[[#This Row],[HH]]*VLOOKUP("Winter Items Other ",NFI,6)-Table10[[#This Row],[Winter Items Other ]],0)</f>
        <v>58</v>
      </c>
      <c r="M45" s="114" t="str">
        <f>IF(OR(Table10[[#This Row],[Winter Clothes Adult ]]&lt;&gt;0,Table10[[#This Row],[Winter Clothes Children ]]&lt;&gt;0,Table10[[#This Row],[Winter Items Other ]]&lt;&gt;0),"No","")</f>
        <v/>
      </c>
      <c r="N45" s="115">
        <f>COUNTIF(A:A,Table10[[#This Row],[Pcode]])-1</f>
        <v>0</v>
      </c>
    </row>
    <row r="46" spans="1:14" x14ac:dyDescent="0.3">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198</v>
      </c>
      <c r="F46" s="7">
        <f ca="1">OFFSET(CampList[Total],MATCH(Table10[[#This Row],[Pcode]],CampList[CP_Pcode],0)-1,0,1,1)</f>
        <v>1008</v>
      </c>
      <c r="G46" s="106">
        <f>SUMIF('NFI Distributions'!AU$53:AU$1048576,Table10[[#This Row],[Pcode]],'NFI Distributions'!AM$53:AM$1048576)</f>
        <v>0</v>
      </c>
      <c r="H46" s="106">
        <f>SUMIF('NFI Distributions'!AU$53:AU$1048576,Table10[[#This Row],[Pcode]],'NFI Distributions'!AN$53:AN$1048576)</f>
        <v>0</v>
      </c>
      <c r="I46" s="106">
        <f>SUMIF('NFI Distributions'!AU$53:AU$1048576,Table10[[#This Row],[Pcode]],'NFI Distributions'!AO$53:AO$1048576)</f>
        <v>0</v>
      </c>
      <c r="J46" s="106">
        <f ca="1">MAX(Table10[[#This Row],[HH]]*VLOOKUP("Winter Clothes Adult",NFI,6)-Table10[[#This Row],[Winter Clothes Adult ]],0)</f>
        <v>396</v>
      </c>
      <c r="K46" s="106">
        <f ca="1">MAX(Table10[[#This Row],[HH]]*VLOOKUP("Winter Clothes Children ",NFI,6)-Table10[[#This Row],[Winter Clothes Children ]],0)</f>
        <v>198</v>
      </c>
      <c r="L46" s="106">
        <f ca="1">MAX(Table10[[#This Row],[HH]]*VLOOKUP("Winter Items Other ",NFI,6)-Table10[[#This Row],[Winter Items Other ]],0)</f>
        <v>198</v>
      </c>
      <c r="M46" s="114" t="str">
        <f>IF(OR(Table10[[#This Row],[Winter Clothes Adult ]]&lt;&gt;0,Table10[[#This Row],[Winter Clothes Children ]]&lt;&gt;0,Table10[[#This Row],[Winter Items Other ]]&lt;&gt;0),"No","")</f>
        <v/>
      </c>
      <c r="N46" s="115">
        <f>COUNTIF(A:A,Table10[[#This Row],[Pcode]])-1</f>
        <v>0</v>
      </c>
    </row>
    <row r="47" spans="1:14" x14ac:dyDescent="0.3">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6">
        <f>SUMIF('NFI Distributions'!AU$53:AU$1048576,Table10[[#This Row],[Pcode]],'NFI Distributions'!AM$53:AM$1048576)</f>
        <v>0</v>
      </c>
      <c r="H47" s="106">
        <f>SUMIF('NFI Distributions'!AU$53:AU$1048576,Table10[[#This Row],[Pcode]],'NFI Distributions'!AN$53:AN$1048576)</f>
        <v>0</v>
      </c>
      <c r="I47" s="106">
        <f>SUMIF('NFI Distributions'!AU$53:AU$1048576,Table10[[#This Row],[Pcode]],'NFI Distributions'!AO$53:AO$1048576)</f>
        <v>0</v>
      </c>
      <c r="J47" s="106">
        <f ca="1">MAX(Table10[[#This Row],[HH]]*VLOOKUP("Winter Clothes Adult",NFI,6)-Table10[[#This Row],[Winter Clothes Adult ]],0)</f>
        <v>58</v>
      </c>
      <c r="K47" s="106">
        <f ca="1">MAX(Table10[[#This Row],[HH]]*VLOOKUP("Winter Clothes Children ",NFI,6)-Table10[[#This Row],[Winter Clothes Children ]],0)</f>
        <v>29</v>
      </c>
      <c r="L47" s="106">
        <f ca="1">MAX(Table10[[#This Row],[HH]]*VLOOKUP("Winter Items Other ",NFI,6)-Table10[[#This Row],[Winter Items Other ]],0)</f>
        <v>29</v>
      </c>
      <c r="M47" s="114" t="str">
        <f>IF(OR(Table10[[#This Row],[Winter Clothes Adult ]]&lt;&gt;0,Table10[[#This Row],[Winter Clothes Children ]]&lt;&gt;0,Table10[[#This Row],[Winter Items Other ]]&lt;&gt;0),"No","")</f>
        <v/>
      </c>
      <c r="N47" s="115">
        <f>COUNTIF(A:A,Table10[[#This Row],[Pcode]])-1</f>
        <v>0</v>
      </c>
    </row>
    <row r="48" spans="1:14" x14ac:dyDescent="0.3">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Distributions'!AU$53:AU$1048576,Table10[[#This Row],[Pcode]],'NFI Distributions'!AM$53:AM$1048576)</f>
        <v>0</v>
      </c>
      <c r="H48" s="106">
        <f>SUMIF('NFI Distributions'!AU$53:AU$1048576,Table10[[#This Row],[Pcode]],'NFI Distributions'!AN$53:AN$1048576)</f>
        <v>0</v>
      </c>
      <c r="I48" s="106">
        <f>SUMIF('NFI Distributions'!AU$53:AU$1048576,Table10[[#This Row],[Pcode]],'NFI Distributions'!AO$53:AO$1048576)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3">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Distributions'!AU$53:AU$1048576,Table10[[#This Row],[Pcode]],'NFI Distributions'!AM$53:AM$1048576)</f>
        <v>0</v>
      </c>
      <c r="H49" s="106">
        <f>SUMIF('NFI Distributions'!AU$53:AU$1048576,Table10[[#This Row],[Pcode]],'NFI Distributions'!AN$53:AN$1048576)</f>
        <v>0</v>
      </c>
      <c r="I49" s="106">
        <f>SUMIF('NFI Distributions'!AU$53:AU$1048576,Table10[[#This Row],[Pcode]],'NFI Distributions'!AO$53:AO$1048576)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3">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75</v>
      </c>
      <c r="F50" s="7">
        <f ca="1">OFFSET(CampList[Total],MATCH(Table10[[#This Row],[Pcode]],CampList[CP_Pcode],0)-1,0,1,1)</f>
        <v>367</v>
      </c>
      <c r="G50" s="106">
        <f>SUMIF('NFI Distributions'!AU$53:AU$1048576,Table10[[#This Row],[Pcode]],'NFI Distributions'!AM$53:AM$1048576)</f>
        <v>0</v>
      </c>
      <c r="H50" s="106">
        <f>SUMIF('NFI Distributions'!AU$53:AU$1048576,Table10[[#This Row],[Pcode]],'NFI Distributions'!AN$53:AN$1048576)</f>
        <v>0</v>
      </c>
      <c r="I50" s="106">
        <f>SUMIF('NFI Distributions'!AU$53:AU$1048576,Table10[[#This Row],[Pcode]],'NFI Distributions'!AO$53:AO$1048576)</f>
        <v>0</v>
      </c>
      <c r="J50" s="106">
        <f ca="1">MAX(Table10[[#This Row],[HH]]*VLOOKUP("Winter Clothes Adult",NFI,6)-Table10[[#This Row],[Winter Clothes Adult ]],0)</f>
        <v>150</v>
      </c>
      <c r="K50" s="106">
        <f ca="1">MAX(Table10[[#This Row],[HH]]*VLOOKUP("Winter Clothes Children ",NFI,6)-Table10[[#This Row],[Winter Clothes Children ]],0)</f>
        <v>75</v>
      </c>
      <c r="L50" s="106">
        <f ca="1">MAX(Table10[[#This Row],[HH]]*VLOOKUP("Winter Items Other ",NFI,6)-Table10[[#This Row],[Winter Items Other ]],0)</f>
        <v>75</v>
      </c>
      <c r="M50" s="114" t="str">
        <f>IF(OR(Table10[[#This Row],[Winter Clothes Adult ]]&lt;&gt;0,Table10[[#This Row],[Winter Clothes Children ]]&lt;&gt;0,Table10[[#This Row],[Winter Items Other ]]&lt;&gt;0),"No","")</f>
        <v/>
      </c>
      <c r="N50" s="115">
        <f>COUNTIF(A:A,Table10[[#This Row],[Pcode]])-1</f>
        <v>0</v>
      </c>
    </row>
    <row r="51" spans="1:14" x14ac:dyDescent="0.3">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336</v>
      </c>
      <c r="G51" s="106">
        <f>SUMIF('NFI Distributions'!AU$53:AU$1048576,Table10[[#This Row],[Pcode]],'NFI Distributions'!AM$53:AM$1048576)</f>
        <v>0</v>
      </c>
      <c r="H51" s="106">
        <f>SUMIF('NFI Distributions'!AU$53:AU$1048576,Table10[[#This Row],[Pcode]],'NFI Distributions'!AN$53:AN$1048576)</f>
        <v>0</v>
      </c>
      <c r="I51" s="106">
        <f>SUMIF('NFI Distributions'!AU$53:AU$1048576,Table10[[#This Row],[Pcode]],'NFI Distributions'!AO$53:AO$1048576)</f>
        <v>0</v>
      </c>
      <c r="J51" s="106">
        <f ca="1">MAX(Table10[[#This Row],[HH]]*VLOOKUP("Winter Clothes Adult",NFI,6)-Table10[[#This Row],[Winter Clothes Adult ]],0)</f>
        <v>132</v>
      </c>
      <c r="K51" s="106">
        <f ca="1">MAX(Table10[[#This Row],[HH]]*VLOOKUP("Winter Clothes Children ",NFI,6)-Table10[[#This Row],[Winter Clothes Children ]],0)</f>
        <v>66</v>
      </c>
      <c r="L51" s="106">
        <f ca="1">MAX(Table10[[#This Row],[HH]]*VLOOKUP("Winter Items Other ",NFI,6)-Table10[[#This Row],[Winter Items Other ]],0)</f>
        <v>66</v>
      </c>
      <c r="M51" s="114" t="str">
        <f>IF(OR(Table10[[#This Row],[Winter Clothes Adult ]]&lt;&gt;0,Table10[[#This Row],[Winter Clothes Children ]]&lt;&gt;0,Table10[[#This Row],[Winter Items Other ]]&lt;&gt;0),"No","")</f>
        <v/>
      </c>
      <c r="N51" s="115">
        <f>COUNTIF(A:A,Table10[[#This Row],[Pcode]])-1</f>
        <v>0</v>
      </c>
    </row>
    <row r="52" spans="1:14" x14ac:dyDescent="0.3">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223</v>
      </c>
      <c r="G52" s="106">
        <f>SUMIF('NFI Distributions'!AU$53:AU$1048576,Table10[[#This Row],[Pcode]],'NFI Distributions'!AM$53:AM$1048576)</f>
        <v>0</v>
      </c>
      <c r="H52" s="106">
        <f>SUMIF('NFI Distributions'!AU$53:AU$1048576,Table10[[#This Row],[Pcode]],'NFI Distributions'!AN$53:AN$1048576)</f>
        <v>0</v>
      </c>
      <c r="I52" s="106">
        <f>SUMIF('NFI Distributions'!AU$53:AU$1048576,Table10[[#This Row],[Pcode]],'NFI Distributions'!AO$53:AO$1048576)</f>
        <v>0</v>
      </c>
      <c r="J52" s="106">
        <f ca="1">MAX(Table10[[#This Row],[HH]]*VLOOKUP("Winter Clothes Adult",NFI,6)-Table10[[#This Row],[Winter Clothes Adult ]],0)</f>
        <v>88</v>
      </c>
      <c r="K52" s="106">
        <f ca="1">MAX(Table10[[#This Row],[HH]]*VLOOKUP("Winter Clothes Children ",NFI,6)-Table10[[#This Row],[Winter Clothes Children ]],0)</f>
        <v>44</v>
      </c>
      <c r="L52" s="106">
        <f ca="1">MAX(Table10[[#This Row],[HH]]*VLOOKUP("Winter Items Other ",NFI,6)-Table10[[#This Row],[Winter Items Other ]],0)</f>
        <v>44</v>
      </c>
      <c r="M52" s="114" t="str">
        <f>IF(OR(Table10[[#This Row],[Winter Clothes Adult ]]&lt;&gt;0,Table10[[#This Row],[Winter Clothes Children ]]&lt;&gt;0,Table10[[#This Row],[Winter Items Other ]]&lt;&gt;0),"No","")</f>
        <v/>
      </c>
      <c r="N52" s="115">
        <f>COUNTIF(A:A,Table10[[#This Row],[Pcode]])-1</f>
        <v>0</v>
      </c>
    </row>
    <row r="53" spans="1:14" x14ac:dyDescent="0.3">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41</v>
      </c>
      <c r="F53" s="7">
        <f ca="1">OFFSET(CampList[Total],MATCH(Table10[[#This Row],[Pcode]],CampList[CP_Pcode],0)-1,0,1,1)</f>
        <v>179</v>
      </c>
      <c r="G53" s="106">
        <f>SUMIF('NFI Distributions'!AU$53:AU$1048576,Table10[[#This Row],[Pcode]],'NFI Distributions'!AM$53:AM$1048576)</f>
        <v>0</v>
      </c>
      <c r="H53" s="106">
        <f>SUMIF('NFI Distributions'!AU$53:AU$1048576,Table10[[#This Row],[Pcode]],'NFI Distributions'!AN$53:AN$1048576)</f>
        <v>0</v>
      </c>
      <c r="I53" s="106">
        <f>SUMIF('NFI Distributions'!AU$53:AU$1048576,Table10[[#This Row],[Pcode]],'NFI Distributions'!AO$53:AO$1048576)</f>
        <v>0</v>
      </c>
      <c r="J53" s="106">
        <f ca="1">MAX(Table10[[#This Row],[HH]]*VLOOKUP("Winter Clothes Adult",NFI,6)-Table10[[#This Row],[Winter Clothes Adult ]],0)</f>
        <v>82</v>
      </c>
      <c r="K53" s="106">
        <f ca="1">MAX(Table10[[#This Row],[HH]]*VLOOKUP("Winter Clothes Children ",NFI,6)-Table10[[#This Row],[Winter Clothes Children ]],0)</f>
        <v>41</v>
      </c>
      <c r="L53" s="106">
        <f ca="1">MAX(Table10[[#This Row],[HH]]*VLOOKUP("Winter Items Other ",NFI,6)-Table10[[#This Row],[Winter Items Other ]],0)</f>
        <v>41</v>
      </c>
      <c r="M53" s="114" t="str">
        <f>IF(OR(Table10[[#This Row],[Winter Clothes Adult ]]&lt;&gt;0,Table10[[#This Row],[Winter Clothes Children ]]&lt;&gt;0,Table10[[#This Row],[Winter Items Other ]]&lt;&gt;0),"No","")</f>
        <v/>
      </c>
      <c r="N53" s="115">
        <f>COUNTIF(A:A,Table10[[#This Row],[Pcode]])-1</f>
        <v>0</v>
      </c>
    </row>
    <row r="54" spans="1:14" x14ac:dyDescent="0.3">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Distributions'!AU$53:AU$1048576,Table10[[#This Row],[Pcode]],'NFI Distributions'!AM$53:AM$1048576)</f>
        <v>0</v>
      </c>
      <c r="H54" s="106">
        <f>SUMIF('NFI Distributions'!AU$53:AU$1048576,Table10[[#This Row],[Pcode]],'NFI Distributions'!AN$53:AN$1048576)</f>
        <v>0</v>
      </c>
      <c r="I54" s="106">
        <f>SUMIF('NFI Distributions'!AU$53:AU$1048576,Table10[[#This Row],[Pcode]],'NFI Distributions'!AO$53:AO$1048576)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3">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Distributions'!AU$53:AU$1048576,Table10[[#This Row],[Pcode]],'NFI Distributions'!AM$53:AM$1048576)</f>
        <v>0</v>
      </c>
      <c r="H55" s="106">
        <f>SUMIF('NFI Distributions'!AU$53:AU$1048576,Table10[[#This Row],[Pcode]],'NFI Distributions'!AN$53:AN$1048576)</f>
        <v>0</v>
      </c>
      <c r="I55" s="106">
        <f>SUMIF('NFI Distributions'!AU$53:AU$1048576,Table10[[#This Row],[Pcode]],'NFI Distributions'!AO$53:AO$1048576)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3">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64</v>
      </c>
      <c r="F56" s="106">
        <f ca="1">OFFSET(CampList[Total],MATCH(Table10[[#This Row],[Pcode]],CampList[CP_Pcode],0)-1,0,1,1)</f>
        <v>324</v>
      </c>
      <c r="G56" s="106">
        <f>SUMIF('NFI Distributions'!AU$53:AU$1048576,Table10[[#This Row],[Pcode]],'NFI Distributions'!AM$53:AM$1048576)</f>
        <v>0</v>
      </c>
      <c r="H56" s="106">
        <f>SUMIF('NFI Distributions'!AU$53:AU$1048576,Table10[[#This Row],[Pcode]],'NFI Distributions'!AN$53:AN$1048576)</f>
        <v>0</v>
      </c>
      <c r="I56" s="106">
        <f>SUMIF('NFI Distributions'!AU$53:AU$1048576,Table10[[#This Row],[Pcode]],'NFI Distributions'!AO$53:AO$1048576)</f>
        <v>0</v>
      </c>
      <c r="J56" s="106">
        <f ca="1">MAX(Table10[[#This Row],[HH]]*VLOOKUP("Winter Clothes Adult",NFI,6)-Table10[[#This Row],[Winter Clothes Adult ]],0)</f>
        <v>128</v>
      </c>
      <c r="K56" s="106">
        <f ca="1">MAX(Table10[[#This Row],[HH]]*VLOOKUP("Winter Clothes Children ",NFI,6)-Table10[[#This Row],[Winter Clothes Children ]],0)</f>
        <v>64</v>
      </c>
      <c r="L56" s="106">
        <f ca="1">MAX(Table10[[#This Row],[HH]]*VLOOKUP("Winter Items Other ",NFI,6)-Table10[[#This Row],[Winter Items Other ]],0)</f>
        <v>64</v>
      </c>
      <c r="M56" s="114" t="str">
        <f>IF(OR(Table10[[#This Row],[Winter Clothes Adult ]]&lt;&gt;0,Table10[[#This Row],[Winter Clothes Children ]]&lt;&gt;0,Table10[[#This Row],[Winter Items Other ]]&lt;&gt;0),"No","")</f>
        <v/>
      </c>
      <c r="N56" s="115">
        <f>COUNTIF(A:A,Table10[[#This Row],[Pcode]])-1</f>
        <v>0</v>
      </c>
    </row>
    <row r="57" spans="1:14" x14ac:dyDescent="0.3">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257</v>
      </c>
      <c r="F57" s="106">
        <f ca="1">OFFSET(CampList[Total],MATCH(Table10[[#This Row],[Pcode]],CampList[CP_Pcode],0)-1,0,1,1)</f>
        <v>1278</v>
      </c>
      <c r="G57" s="106">
        <f>SUMIF('NFI Distributions'!AU$53:AU$1048576,Table10[[#This Row],[Pcode]],'NFI Distributions'!AM$53:AM$1048576)</f>
        <v>0</v>
      </c>
      <c r="H57" s="106">
        <f>SUMIF('NFI Distributions'!AU$53:AU$1048576,Table10[[#This Row],[Pcode]],'NFI Distributions'!AN$53:AN$1048576)</f>
        <v>0</v>
      </c>
      <c r="I57" s="106">
        <f>SUMIF('NFI Distributions'!AU$53:AU$1048576,Table10[[#This Row],[Pcode]],'NFI Distributions'!AO$53:AO$1048576)</f>
        <v>0</v>
      </c>
      <c r="J57" s="106">
        <f ca="1">MAX(Table10[[#This Row],[HH]]*VLOOKUP("Winter Clothes Adult",NFI,6)-Table10[[#This Row],[Winter Clothes Adult ]],0)</f>
        <v>514</v>
      </c>
      <c r="K57" s="106">
        <f ca="1">MAX(Table10[[#This Row],[HH]]*VLOOKUP("Winter Clothes Children ",NFI,6)-Table10[[#This Row],[Winter Clothes Children ]],0)</f>
        <v>257</v>
      </c>
      <c r="L57" s="106">
        <f ca="1">MAX(Table10[[#This Row],[HH]]*VLOOKUP("Winter Items Other ",NFI,6)-Table10[[#This Row],[Winter Items Other ]],0)</f>
        <v>257</v>
      </c>
      <c r="M57" s="114" t="str">
        <f>IF(OR(Table10[[#This Row],[Winter Clothes Adult ]]&lt;&gt;0,Table10[[#This Row],[Winter Clothes Children ]]&lt;&gt;0,Table10[[#This Row],[Winter Items Other ]]&lt;&gt;0),"No","")</f>
        <v/>
      </c>
      <c r="N57" s="115">
        <f>COUNTIF(A:A,Table10[[#This Row],[Pcode]])-1</f>
        <v>0</v>
      </c>
    </row>
    <row r="58" spans="1:14" x14ac:dyDescent="0.3">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65</v>
      </c>
      <c r="F58" s="106">
        <f ca="1">OFFSET(CampList[Total],MATCH(Table10[[#This Row],[Pcode]],CampList[CP_Pcode],0)-1,0,1,1)</f>
        <v>353</v>
      </c>
      <c r="G58" s="106">
        <f>SUMIF('NFI Distributions'!AU$53:AU$1048576,Table10[[#This Row],[Pcode]],'NFI Distributions'!AM$53:AM$1048576)</f>
        <v>0</v>
      </c>
      <c r="H58" s="106">
        <f>SUMIF('NFI Distributions'!AU$53:AU$1048576,Table10[[#This Row],[Pcode]],'NFI Distributions'!AN$53:AN$1048576)</f>
        <v>0</v>
      </c>
      <c r="I58" s="106">
        <f>SUMIF('NFI Distributions'!AU$53:AU$1048576,Table10[[#This Row],[Pcode]],'NFI Distributions'!AO$53:AO$1048576)</f>
        <v>0</v>
      </c>
      <c r="J58" s="106">
        <f ca="1">MAX(Table10[[#This Row],[HH]]*VLOOKUP("Winter Clothes Adult",NFI,6)-Table10[[#This Row],[Winter Clothes Adult ]],0)</f>
        <v>130</v>
      </c>
      <c r="K58" s="106">
        <f ca="1">MAX(Table10[[#This Row],[HH]]*VLOOKUP("Winter Clothes Children ",NFI,6)-Table10[[#This Row],[Winter Clothes Children ]],0)</f>
        <v>65</v>
      </c>
      <c r="L58" s="106">
        <f ca="1">MAX(Table10[[#This Row],[HH]]*VLOOKUP("Winter Items Other ",NFI,6)-Table10[[#This Row],[Winter Items Other ]],0)</f>
        <v>65</v>
      </c>
      <c r="M58" s="114" t="str">
        <f>IF(OR(Table10[[#This Row],[Winter Clothes Adult ]]&lt;&gt;0,Table10[[#This Row],[Winter Clothes Children ]]&lt;&gt;0,Table10[[#This Row],[Winter Items Other ]]&lt;&gt;0),"No","")</f>
        <v/>
      </c>
      <c r="N58" s="115">
        <f>COUNTIF(A:A,Table10[[#This Row],[Pcode]])-1</f>
        <v>0</v>
      </c>
    </row>
    <row r="59" spans="1:14" x14ac:dyDescent="0.3">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14</v>
      </c>
      <c r="F59" s="106">
        <f ca="1">OFFSET(CampList[Total],MATCH(Table10[[#This Row],[Pcode]],CampList[CP_Pcode],0)-1,0,1,1)</f>
        <v>81</v>
      </c>
      <c r="G59" s="106">
        <f>SUMIF('NFI Distributions'!AU$53:AU$1048576,Table10[[#This Row],[Pcode]],'NFI Distributions'!AM$53:AM$1048576)</f>
        <v>0</v>
      </c>
      <c r="H59" s="106">
        <f>SUMIF('NFI Distributions'!AU$53:AU$1048576,Table10[[#This Row],[Pcode]],'NFI Distributions'!AN$53:AN$1048576)</f>
        <v>0</v>
      </c>
      <c r="I59" s="106">
        <f>SUMIF('NFI Distributions'!AU$53:AU$1048576,Table10[[#This Row],[Pcode]],'NFI Distributions'!AO$53:AO$1048576)</f>
        <v>0</v>
      </c>
      <c r="J59" s="106">
        <f ca="1">MAX(Table10[[#This Row],[HH]]*VLOOKUP("Winter Clothes Adult",NFI,6)-Table10[[#This Row],[Winter Clothes Adult ]],0)</f>
        <v>28</v>
      </c>
      <c r="K59" s="106">
        <f ca="1">MAX(Table10[[#This Row],[HH]]*VLOOKUP("Winter Clothes Children ",NFI,6)-Table10[[#This Row],[Winter Clothes Children ]],0)</f>
        <v>14</v>
      </c>
      <c r="L59" s="106">
        <f ca="1">MAX(Table10[[#This Row],[HH]]*VLOOKUP("Winter Items Other ",NFI,6)-Table10[[#This Row],[Winter Items Other ]],0)</f>
        <v>14</v>
      </c>
      <c r="M59" s="114" t="str">
        <f>IF(OR(Table10[[#This Row],[Winter Clothes Adult ]]&lt;&gt;0,Table10[[#This Row],[Winter Clothes Children ]]&lt;&gt;0,Table10[[#This Row],[Winter Items Other ]]&lt;&gt;0),"No","")</f>
        <v/>
      </c>
      <c r="N59" s="115">
        <f>COUNTIF(A:A,Table10[[#This Row],[Pcode]])-1</f>
        <v>0</v>
      </c>
    </row>
    <row r="60" spans="1:14" x14ac:dyDescent="0.3">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Distributions'!AU$53:AU$1048576,Table10[[#This Row],[Pcode]],'NFI Distributions'!AM$53:AM$1048576)</f>
        <v>0</v>
      </c>
      <c r="H60" s="106">
        <f>SUMIF('NFI Distributions'!AU$53:AU$1048576,Table10[[#This Row],[Pcode]],'NFI Distributions'!AN$53:AN$1048576)</f>
        <v>0</v>
      </c>
      <c r="I60" s="106">
        <f>SUMIF('NFI Distributions'!AU$53:AU$1048576,Table10[[#This Row],[Pcode]],'NFI Distributions'!AO$53:AO$1048576)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3">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Distributions'!AU$53:AU$1048576,Table10[[#This Row],[Pcode]],'NFI Distributions'!AM$53:AM$1048576)</f>
        <v>0</v>
      </c>
      <c r="H61" s="106">
        <f>SUMIF('NFI Distributions'!AU$53:AU$1048576,Table10[[#This Row],[Pcode]],'NFI Distributions'!AN$53:AN$1048576)</f>
        <v>0</v>
      </c>
      <c r="I61" s="106">
        <f>SUMIF('NFI Distributions'!AU$53:AU$1048576,Table10[[#This Row],[Pcode]],'NFI Distributions'!AO$53:AO$1048576)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3">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228</v>
      </c>
      <c r="G62" s="106">
        <f>SUMIF('NFI Distributions'!AU$53:AU$1048576,Table10[[#This Row],[Pcode]],'NFI Distributions'!AM$53:AM$1048576)</f>
        <v>0</v>
      </c>
      <c r="H62" s="106">
        <f>SUMIF('NFI Distributions'!AU$53:AU$1048576,Table10[[#This Row],[Pcode]],'NFI Distributions'!AN$53:AN$1048576)</f>
        <v>0</v>
      </c>
      <c r="I62" s="106">
        <f>SUMIF('NFI Distributions'!AU$53:AU$1048576,Table10[[#This Row],[Pcode]],'NFI Distributions'!AO$53:AO$1048576)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3">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Distributions'!AU$53:AU$1048576,Table10[[#This Row],[Pcode]],'NFI Distributions'!AM$53:AM$1048576)</f>
        <v>0</v>
      </c>
      <c r="H63" s="106">
        <f>SUMIF('NFI Distributions'!AU$53:AU$1048576,Table10[[#This Row],[Pcode]],'NFI Distributions'!AN$53:AN$1048576)</f>
        <v>0</v>
      </c>
      <c r="I63" s="106">
        <f>SUMIF('NFI Distributions'!AU$53:AU$1048576,Table10[[#This Row],[Pcode]],'NFI Distributions'!AO$53:AO$1048576)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3">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5</v>
      </c>
      <c r="F64" s="106">
        <f ca="1">OFFSET(CampList[Total],MATCH(Table10[[#This Row],[Pcode]],CampList[CP_Pcode],0)-1,0,1,1)</f>
        <v>27</v>
      </c>
      <c r="G64" s="106">
        <f>SUMIF('NFI Distributions'!AU$53:AU$1048576,Table10[[#This Row],[Pcode]],'NFI Distributions'!AM$53:AM$1048576)</f>
        <v>0</v>
      </c>
      <c r="H64" s="106">
        <f>SUMIF('NFI Distributions'!AU$53:AU$1048576,Table10[[#This Row],[Pcode]],'NFI Distributions'!AN$53:AN$1048576)</f>
        <v>0</v>
      </c>
      <c r="I64" s="106">
        <f>SUMIF('NFI Distributions'!AU$53:AU$1048576,Table10[[#This Row],[Pcode]],'NFI Distributions'!AO$53:AO$1048576)</f>
        <v>0</v>
      </c>
      <c r="J64" s="106">
        <f ca="1">MAX(Table10[[#This Row],[HH]]*VLOOKUP("Winter Clothes Adult",NFI,6)-Table10[[#This Row],[Winter Clothes Adult ]],0)</f>
        <v>10</v>
      </c>
      <c r="K64" s="106">
        <f ca="1">MAX(Table10[[#This Row],[HH]]*VLOOKUP("Winter Clothes Children ",NFI,6)-Table10[[#This Row],[Winter Clothes Children ]],0)</f>
        <v>5</v>
      </c>
      <c r="L64" s="106">
        <f ca="1">MAX(Table10[[#This Row],[HH]]*VLOOKUP("Winter Items Other ",NFI,6)-Table10[[#This Row],[Winter Items Other ]],0)</f>
        <v>5</v>
      </c>
      <c r="M64" s="114" t="str">
        <f>IF(OR(Table10[[#This Row],[Winter Clothes Adult ]]&lt;&gt;0,Table10[[#This Row],[Winter Clothes Children ]]&lt;&gt;0,Table10[[#This Row],[Winter Items Other ]]&lt;&gt;0),"No","")</f>
        <v/>
      </c>
      <c r="N64" s="115">
        <f>COUNTIF(A:A,Table10[[#This Row],[Pcode]])-1</f>
        <v>0</v>
      </c>
    </row>
    <row r="65" spans="1:14" x14ac:dyDescent="0.3">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375</v>
      </c>
      <c r="G65" s="106">
        <f>SUMIF('NFI Distributions'!AU$53:AU$1048576,Table10[[#This Row],[Pcode]],'NFI Distributions'!AM$53:AM$1048576)</f>
        <v>0</v>
      </c>
      <c r="H65" s="106">
        <f>SUMIF('NFI Distributions'!AU$53:AU$1048576,Table10[[#This Row],[Pcode]],'NFI Distributions'!AN$53:AN$1048576)</f>
        <v>0</v>
      </c>
      <c r="I65" s="106">
        <f>SUMIF('NFI Distributions'!AU$53:AU$1048576,Table10[[#This Row],[Pcode]],'NFI Distributions'!AO$53:AO$1048576)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3">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Distributions'!AU$53:AU$1048576,Table10[[#This Row],[Pcode]],'NFI Distributions'!AM$53:AM$1048576)</f>
        <v>0</v>
      </c>
      <c r="H66" s="106">
        <f>SUMIF('NFI Distributions'!AU$53:AU$1048576,Table10[[#This Row],[Pcode]],'NFI Distributions'!AN$53:AN$1048576)</f>
        <v>0</v>
      </c>
      <c r="I66" s="106">
        <f>SUMIF('NFI Distributions'!AU$53:AU$1048576,Table10[[#This Row],[Pcode]],'NFI Distributions'!AO$53:AO$1048576)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3">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42</v>
      </c>
      <c r="F67" s="106">
        <f ca="1">OFFSET(CampList[Total],MATCH(Table10[[#This Row],[Pcode]],CampList[CP_Pcode],0)-1,0,1,1)</f>
        <v>184</v>
      </c>
      <c r="G67" s="106">
        <f>SUMIF('NFI Distributions'!AU$53:AU$1048576,Table10[[#This Row],[Pcode]],'NFI Distributions'!AM$53:AM$1048576)</f>
        <v>0</v>
      </c>
      <c r="H67" s="106">
        <f>SUMIF('NFI Distributions'!AU$53:AU$1048576,Table10[[#This Row],[Pcode]],'NFI Distributions'!AN$53:AN$1048576)</f>
        <v>0</v>
      </c>
      <c r="I67" s="106">
        <f>SUMIF('NFI Distributions'!AU$53:AU$1048576,Table10[[#This Row],[Pcode]],'NFI Distributions'!AO$53:AO$1048576)</f>
        <v>0</v>
      </c>
      <c r="J67" s="106">
        <f ca="1">MAX(Table10[[#This Row],[HH]]*VLOOKUP("Winter Clothes Adult",NFI,6)-Table10[[#This Row],[Winter Clothes Adult ]],0)</f>
        <v>84</v>
      </c>
      <c r="K67" s="106">
        <f ca="1">MAX(Table10[[#This Row],[HH]]*VLOOKUP("Winter Clothes Children ",NFI,6)-Table10[[#This Row],[Winter Clothes Children ]],0)</f>
        <v>42</v>
      </c>
      <c r="L67" s="106">
        <f ca="1">MAX(Table10[[#This Row],[HH]]*VLOOKUP("Winter Items Other ",NFI,6)-Table10[[#This Row],[Winter Items Other ]],0)</f>
        <v>42</v>
      </c>
      <c r="M67" s="114" t="str">
        <f>IF(OR(Table10[[#This Row],[Winter Clothes Adult ]]&lt;&gt;0,Table10[[#This Row],[Winter Clothes Children ]]&lt;&gt;0,Table10[[#This Row],[Winter Items Other ]]&lt;&gt;0),"No","")</f>
        <v/>
      </c>
      <c r="N67" s="115">
        <f>COUNTIF(A:A,Table10[[#This Row],[Pcode]])-1</f>
        <v>0</v>
      </c>
    </row>
    <row r="68" spans="1:14" x14ac:dyDescent="0.3">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Distributions'!AU$53:AU$1048576,Table10[[#This Row],[Pcode]],'NFI Distributions'!AM$53:AM$1048576)</f>
        <v>0</v>
      </c>
      <c r="H68" s="106">
        <f>SUMIF('NFI Distributions'!AU$53:AU$1048576,Table10[[#This Row],[Pcode]],'NFI Distributions'!AN$53:AN$1048576)</f>
        <v>0</v>
      </c>
      <c r="I68" s="106">
        <f>SUMIF('NFI Distributions'!AU$53:AU$1048576,Table10[[#This Row],[Pcode]],'NFI Distributions'!AO$53:AO$1048576)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3">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103</v>
      </c>
      <c r="F69" s="106">
        <f ca="1">OFFSET(CampList[Total],MATCH(Table10[[#This Row],[Pcode]],CampList[CP_Pcode],0)-1,0,1,1)</f>
        <v>504</v>
      </c>
      <c r="G69" s="106">
        <f>SUMIF('NFI Distributions'!AU$53:AU$1048576,Table10[[#This Row],[Pcode]],'NFI Distributions'!AM$53:AM$1048576)</f>
        <v>0</v>
      </c>
      <c r="H69" s="106">
        <f>SUMIF('NFI Distributions'!AU$53:AU$1048576,Table10[[#This Row],[Pcode]],'NFI Distributions'!AN$53:AN$1048576)</f>
        <v>0</v>
      </c>
      <c r="I69" s="106">
        <f>SUMIF('NFI Distributions'!AU$53:AU$1048576,Table10[[#This Row],[Pcode]],'NFI Distributions'!AO$53:AO$1048576)</f>
        <v>0</v>
      </c>
      <c r="J69" s="106">
        <f ca="1">MAX(Table10[[#This Row],[HH]]*VLOOKUP("Winter Clothes Adult",NFI,6)-Table10[[#This Row],[Winter Clothes Adult ]],0)</f>
        <v>206</v>
      </c>
      <c r="K69" s="106">
        <f ca="1">MAX(Table10[[#This Row],[HH]]*VLOOKUP("Winter Clothes Children ",NFI,6)-Table10[[#This Row],[Winter Clothes Children ]],0)</f>
        <v>103</v>
      </c>
      <c r="L69" s="106">
        <f ca="1">MAX(Table10[[#This Row],[HH]]*VLOOKUP("Winter Items Other ",NFI,6)-Table10[[#This Row],[Winter Items Other ]],0)</f>
        <v>103</v>
      </c>
      <c r="M69" s="114" t="str">
        <f>IF(OR(Table10[[#This Row],[Winter Clothes Adult ]]&lt;&gt;0,Table10[[#This Row],[Winter Clothes Children ]]&lt;&gt;0,Table10[[#This Row],[Winter Items Other ]]&lt;&gt;0),"No","")</f>
        <v/>
      </c>
      <c r="N69" s="115">
        <f>COUNTIF(A:A,Table10[[#This Row],[Pcode]])-1</f>
        <v>0</v>
      </c>
    </row>
    <row r="70" spans="1:14" x14ac:dyDescent="0.3">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13</v>
      </c>
      <c r="F70" s="106">
        <f ca="1">OFFSET(CampList[Total],MATCH(Table10[[#This Row],[Pcode]],CampList[CP_Pcode],0)-1,0,1,1)</f>
        <v>46</v>
      </c>
      <c r="G70" s="106">
        <f>SUMIF('NFI Distributions'!AU$53:AU$1048576,Table10[[#This Row],[Pcode]],'NFI Distributions'!AM$53:AM$1048576)</f>
        <v>0</v>
      </c>
      <c r="H70" s="106">
        <f>SUMIF('NFI Distributions'!AU$53:AU$1048576,Table10[[#This Row],[Pcode]],'NFI Distributions'!AN$53:AN$1048576)</f>
        <v>0</v>
      </c>
      <c r="I70" s="106">
        <f>SUMIF('NFI Distributions'!AU$53:AU$1048576,Table10[[#This Row],[Pcode]],'NFI Distributions'!AO$53:AO$1048576)</f>
        <v>0</v>
      </c>
      <c r="J70" s="106">
        <f ca="1">MAX(Table10[[#This Row],[HH]]*VLOOKUP("Winter Clothes Adult",NFI,6)-Table10[[#This Row],[Winter Clothes Adult ]],0)</f>
        <v>26</v>
      </c>
      <c r="K70" s="106">
        <f ca="1">MAX(Table10[[#This Row],[HH]]*VLOOKUP("Winter Clothes Children ",NFI,6)-Table10[[#This Row],[Winter Clothes Children ]],0)</f>
        <v>13</v>
      </c>
      <c r="L70" s="106">
        <f ca="1">MAX(Table10[[#This Row],[HH]]*VLOOKUP("Winter Items Other ",NFI,6)-Table10[[#This Row],[Winter Items Other ]],0)</f>
        <v>13</v>
      </c>
      <c r="M70" s="114" t="str">
        <f>IF(OR(Table10[[#This Row],[Winter Clothes Adult ]]&lt;&gt;0,Table10[[#This Row],[Winter Clothes Children ]]&lt;&gt;0,Table10[[#This Row],[Winter Items Other ]]&lt;&gt;0),"No","")</f>
        <v/>
      </c>
      <c r="N70" s="115">
        <f>COUNTIF(A:A,Table10[[#This Row],[Pcode]])-1</f>
        <v>0</v>
      </c>
    </row>
    <row r="71" spans="1:14" x14ac:dyDescent="0.3">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4</v>
      </c>
      <c r="F71" s="106">
        <f ca="1">OFFSET(CampList[Total],MATCH(Table10[[#This Row],[Pcode]],CampList[CP_Pcode],0)-1,0,1,1)</f>
        <v>27</v>
      </c>
      <c r="G71" s="106">
        <f>SUMIF('NFI Distributions'!AU$53:AU$1048576,Table10[[#This Row],[Pcode]],'NFI Distributions'!AM$53:AM$1048576)</f>
        <v>0</v>
      </c>
      <c r="H71" s="106">
        <f>SUMIF('NFI Distributions'!AU$53:AU$1048576,Table10[[#This Row],[Pcode]],'NFI Distributions'!AN$53:AN$1048576)</f>
        <v>0</v>
      </c>
      <c r="I71" s="106">
        <f>SUMIF('NFI Distributions'!AU$53:AU$1048576,Table10[[#This Row],[Pcode]],'NFI Distributions'!AO$53:AO$1048576)</f>
        <v>0</v>
      </c>
      <c r="J71" s="106">
        <f ca="1">MAX(Table10[[#This Row],[HH]]*VLOOKUP("Winter Clothes Adult",NFI,6)-Table10[[#This Row],[Winter Clothes Adult ]],0)</f>
        <v>8</v>
      </c>
      <c r="K71" s="106">
        <f ca="1">MAX(Table10[[#This Row],[HH]]*VLOOKUP("Winter Clothes Children ",NFI,6)-Table10[[#This Row],[Winter Clothes Children ]],0)</f>
        <v>4</v>
      </c>
      <c r="L71" s="106">
        <f ca="1">MAX(Table10[[#This Row],[HH]]*VLOOKUP("Winter Items Other ",NFI,6)-Table10[[#This Row],[Winter Items Other ]],0)</f>
        <v>4</v>
      </c>
      <c r="M71" s="114" t="str">
        <f>IF(OR(Table10[[#This Row],[Winter Clothes Adult ]]&lt;&gt;0,Table10[[#This Row],[Winter Clothes Children ]]&lt;&gt;0,Table10[[#This Row],[Winter Items Other ]]&lt;&gt;0),"No","")</f>
        <v/>
      </c>
      <c r="N71" s="115">
        <f>COUNTIF(A:A,Table10[[#This Row],[Pcode]])-1</f>
        <v>0</v>
      </c>
    </row>
    <row r="72" spans="1:14" x14ac:dyDescent="0.3">
      <c r="A72" s="102"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6">
        <f ca="1">OFFSET(CampList[HH],MATCH(Table10[[#This Row],[Pcode]],CampList[CP_Pcode],0)-1,0,1,1)</f>
        <v>190</v>
      </c>
      <c r="F72" s="106">
        <f ca="1">OFFSET(CampList[Total],MATCH(Table10[[#This Row],[Pcode]],CampList[CP_Pcode],0)-1,0,1,1)</f>
        <v>928</v>
      </c>
      <c r="G72" s="106">
        <f>SUMIF('NFI Distributions'!AU$53:AU$1048576,Table10[[#This Row],[Pcode]],'NFI Distributions'!AM$53:AM$1048576)</f>
        <v>0</v>
      </c>
      <c r="H72" s="106">
        <f>SUMIF('NFI Distributions'!AU$53:AU$1048576,Table10[[#This Row],[Pcode]],'NFI Distributions'!AN$53:AN$1048576)</f>
        <v>0</v>
      </c>
      <c r="I72" s="106">
        <f>SUMIF('NFI Distributions'!AU$53:AU$1048576,Table10[[#This Row],[Pcode]],'NFI Distributions'!AO$53:AO$1048576)</f>
        <v>0</v>
      </c>
      <c r="J72" s="106">
        <f ca="1">MAX(Table10[[#This Row],[HH]]*VLOOKUP("Winter Clothes Adult",NFI,6)-Table10[[#This Row],[Winter Clothes Adult ]],0)</f>
        <v>380</v>
      </c>
      <c r="K72" s="106">
        <f ca="1">MAX(Table10[[#This Row],[HH]]*VLOOKUP("Winter Clothes Children ",NFI,6)-Table10[[#This Row],[Winter Clothes Children ]],0)</f>
        <v>190</v>
      </c>
      <c r="L72" s="106">
        <f ca="1">MAX(Table10[[#This Row],[HH]]*VLOOKUP("Winter Items Other ",NFI,6)-Table10[[#This Row],[Winter Items Other ]],0)</f>
        <v>190</v>
      </c>
      <c r="M72" s="114" t="str">
        <f>IF(OR(Table10[[#This Row],[Winter Clothes Adult ]]&lt;&gt;0,Table10[[#This Row],[Winter Clothes Children ]]&lt;&gt;0,Table10[[#This Row],[Winter Items Other ]]&lt;&gt;0),"No","")</f>
        <v/>
      </c>
      <c r="N72" s="115">
        <f>COUNTIF(A:A,Table10[[#This Row],[Pcode]])-1</f>
        <v>0</v>
      </c>
    </row>
    <row r="73" spans="1:14" x14ac:dyDescent="0.3">
      <c r="A73" s="102"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6">
        <f ca="1">OFFSET(CampList[HH],MATCH(Table10[[#This Row],[Pcode]],CampList[CP_Pcode],0)-1,0,1,1)</f>
        <v>80</v>
      </c>
      <c r="F73" s="106">
        <f ca="1">OFFSET(CampList[Total],MATCH(Table10[[#This Row],[Pcode]],CampList[CP_Pcode],0)-1,0,1,1)</f>
        <v>290</v>
      </c>
      <c r="G73" s="106">
        <f>SUMIF('NFI Distributions'!AU$53:AU$1048576,Table10[[#This Row],[Pcode]],'NFI Distributions'!AM$53:AM$1048576)</f>
        <v>0</v>
      </c>
      <c r="H73" s="106">
        <f>SUMIF('NFI Distributions'!AU$53:AU$1048576,Table10[[#This Row],[Pcode]],'NFI Distributions'!AN$53:AN$1048576)</f>
        <v>0</v>
      </c>
      <c r="I73" s="106">
        <f>SUMIF('NFI Distributions'!AU$53:AU$1048576,Table10[[#This Row],[Pcode]],'NFI Distributions'!AO$53:AO$1048576)</f>
        <v>0</v>
      </c>
      <c r="J73" s="106">
        <f ca="1">MAX(Table10[[#This Row],[HH]]*VLOOKUP("Winter Clothes Adult",NFI,6)-Table10[[#This Row],[Winter Clothes Adult ]],0)</f>
        <v>160</v>
      </c>
      <c r="K73" s="106">
        <f ca="1">MAX(Table10[[#This Row],[HH]]*VLOOKUP("Winter Clothes Children ",NFI,6)-Table10[[#This Row],[Winter Clothes Children ]],0)</f>
        <v>80</v>
      </c>
      <c r="L73" s="106">
        <f ca="1">MAX(Table10[[#This Row],[HH]]*VLOOKUP("Winter Items Other ",NFI,6)-Table10[[#This Row],[Winter Items Other ]],0)</f>
        <v>80</v>
      </c>
      <c r="M73" s="114" t="str">
        <f>IF(OR(Table10[[#This Row],[Winter Clothes Adult ]]&lt;&gt;0,Table10[[#This Row],[Winter Clothes Children ]]&lt;&gt;0,Table10[[#This Row],[Winter Items Other ]]&lt;&gt;0),"No","")</f>
        <v/>
      </c>
      <c r="N73" s="115">
        <f>COUNTIF(A:A,Table10[[#This Row],[Pcode]])-1</f>
        <v>0</v>
      </c>
    </row>
    <row r="74" spans="1:14" x14ac:dyDescent="0.3">
      <c r="A74" s="102"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Distributions'!AU$53:AU$1048576,Table10[[#This Row],[Pcode]],'NFI Distributions'!AM$53:AM$1048576)</f>
        <v>0</v>
      </c>
      <c r="H74" s="106">
        <f>SUMIF('NFI Distributions'!AU$53:AU$1048576,Table10[[#This Row],[Pcode]],'NFI Distributions'!AN$53:AN$1048576)</f>
        <v>0</v>
      </c>
      <c r="I74" s="106">
        <f>SUMIF('NFI Distributions'!AU$53:AU$1048576,Table10[[#This Row],[Pcode]],'NFI Distributions'!AO$53:AO$1048576)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3">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Distributions'!AU$53:AU$1048576,Table10[[#This Row],[Pcode]],'NFI Distributions'!AM$53:AM$1048576)</f>
        <v>0</v>
      </c>
      <c r="H75" s="106">
        <f>SUMIF('NFI Distributions'!AU$53:AU$1048576,Table10[[#This Row],[Pcode]],'NFI Distributions'!AN$53:AN$1048576)</f>
        <v>0</v>
      </c>
      <c r="I75" s="106">
        <f>SUMIF('NFI Distributions'!AU$53:AU$1048576,Table10[[#This Row],[Pcode]],'NFI Distributions'!AO$53:AO$1048576)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3">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Distributions'!AU$53:AU$1048576,Table10[[#This Row],[Pcode]],'NFI Distributions'!AM$53:AM$1048576)</f>
        <v>0</v>
      </c>
      <c r="H76" s="106">
        <f>SUMIF('NFI Distributions'!AU$53:AU$1048576,Table10[[#This Row],[Pcode]],'NFI Distributions'!AN$53:AN$1048576)</f>
        <v>0</v>
      </c>
      <c r="I76" s="106">
        <f>SUMIF('NFI Distributions'!AU$53:AU$1048576,Table10[[#This Row],[Pcode]],'NFI Distributions'!AO$53:AO$1048576)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3">
      <c r="A77" s="102" t="s">
        <v>916</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104</v>
      </c>
      <c r="F77" s="106">
        <f ca="1">OFFSET(CampList[Total],MATCH(Table10[[#This Row],[Pcode]],CampList[CP_Pcode],0)-1,0,1,1)</f>
        <v>510</v>
      </c>
      <c r="G77" s="106">
        <f>SUMIF('NFI Distributions'!AU$53:AU$1048576,Table10[[#This Row],[Pcode]],'NFI Distributions'!AM$53:AM$1048576)</f>
        <v>0</v>
      </c>
      <c r="H77" s="106">
        <f>SUMIF('NFI Distributions'!AU$53:AU$1048576,Table10[[#This Row],[Pcode]],'NFI Distributions'!AN$53:AN$1048576)</f>
        <v>0</v>
      </c>
      <c r="I77" s="106">
        <f>SUMIF('NFI Distributions'!AU$53:AU$1048576,Table10[[#This Row],[Pcode]],'NFI Distributions'!AO$53:AO$1048576)</f>
        <v>0</v>
      </c>
      <c r="J77" s="106">
        <f ca="1">MAX(Table10[[#This Row],[HH]]*VLOOKUP("Winter Clothes Adult",NFI,6)-Table10[[#This Row],[Winter Clothes Adult ]],0)</f>
        <v>208</v>
      </c>
      <c r="K77" s="106">
        <f ca="1">MAX(Table10[[#This Row],[HH]]*VLOOKUP("Winter Clothes Children ",NFI,6)-Table10[[#This Row],[Winter Clothes Children ]],0)</f>
        <v>104</v>
      </c>
      <c r="L77" s="106">
        <f ca="1">MAX(Table10[[#This Row],[HH]]*VLOOKUP("Winter Items Other ",NFI,6)-Table10[[#This Row],[Winter Items Other ]],0)</f>
        <v>104</v>
      </c>
      <c r="M77" s="114" t="str">
        <f>IF(OR(Table10[[#This Row],[Winter Clothes Adult ]]&lt;&gt;0,Table10[[#This Row],[Winter Clothes Children ]]&lt;&gt;0,Table10[[#This Row],[Winter Items Other ]]&lt;&gt;0),"No","")</f>
        <v/>
      </c>
      <c r="N77" s="115">
        <f>COUNTIF(A:A,Table10[[#This Row],[Pcode]])-1</f>
        <v>0</v>
      </c>
    </row>
    <row r="78" spans="1:14" x14ac:dyDescent="0.3">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41</v>
      </c>
      <c r="F78" s="106">
        <f ca="1">OFFSET(CampList[Total],MATCH(Table10[[#This Row],[Pcode]],CampList[CP_Pcode],0)-1,0,1,1)</f>
        <v>227</v>
      </c>
      <c r="G78" s="106">
        <f>SUMIF('NFI Distributions'!AU$53:AU$1048576,Table10[[#This Row],[Pcode]],'NFI Distributions'!AM$53:AM$1048576)</f>
        <v>0</v>
      </c>
      <c r="H78" s="106">
        <f>SUMIF('NFI Distributions'!AU$53:AU$1048576,Table10[[#This Row],[Pcode]],'NFI Distributions'!AN$53:AN$1048576)</f>
        <v>0</v>
      </c>
      <c r="I78" s="106">
        <f>SUMIF('NFI Distributions'!AU$53:AU$1048576,Table10[[#This Row],[Pcode]],'NFI Distributions'!AO$53:AO$1048576)</f>
        <v>0</v>
      </c>
      <c r="J78" s="106">
        <f ca="1">MAX(Table10[[#This Row],[HH]]*VLOOKUP("Winter Clothes Adult",NFI,6)-Table10[[#This Row],[Winter Clothes Adult ]],0)</f>
        <v>82</v>
      </c>
      <c r="K78" s="106">
        <f ca="1">MAX(Table10[[#This Row],[HH]]*VLOOKUP("Winter Clothes Children ",NFI,6)-Table10[[#This Row],[Winter Clothes Children ]],0)</f>
        <v>41</v>
      </c>
      <c r="L78" s="106">
        <f ca="1">MAX(Table10[[#This Row],[HH]]*VLOOKUP("Winter Items Other ",NFI,6)-Table10[[#This Row],[Winter Items Other ]],0)</f>
        <v>41</v>
      </c>
      <c r="M78" s="114" t="str">
        <f>IF(OR(Table10[[#This Row],[Winter Clothes Adult ]]&lt;&gt;0,Table10[[#This Row],[Winter Clothes Children ]]&lt;&gt;0,Table10[[#This Row],[Winter Items Other ]]&lt;&gt;0),"No","")</f>
        <v/>
      </c>
      <c r="N78" s="115">
        <f>COUNTIF(A:A,Table10[[#This Row],[Pcode]])-1</f>
        <v>0</v>
      </c>
    </row>
    <row r="79" spans="1:14" x14ac:dyDescent="0.3">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1118</v>
      </c>
      <c r="G79" s="106">
        <f>SUMIF('NFI Distributions'!AU$53:AU$1048576,Table10[[#This Row],[Pcode]],'NFI Distributions'!AM$53:AM$1048576)</f>
        <v>0</v>
      </c>
      <c r="H79" s="106">
        <f>SUMIF('NFI Distributions'!AU$53:AU$1048576,Table10[[#This Row],[Pcode]],'NFI Distributions'!AN$53:AN$1048576)</f>
        <v>0</v>
      </c>
      <c r="I79" s="106">
        <f>SUMIF('NFI Distributions'!AU$53:AU$1048576,Table10[[#This Row],[Pcode]],'NFI Distributions'!AO$53:AO$1048576)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3">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115</v>
      </c>
      <c r="F80" s="106">
        <f ca="1">OFFSET(CampList[Total],MATCH(Table10[[#This Row],[Pcode]],CampList[CP_Pcode],0)-1,0,1,1)</f>
        <v>562</v>
      </c>
      <c r="G80" s="106">
        <f>SUMIF('NFI Distributions'!AU$53:AU$1048576,Table10[[#This Row],[Pcode]],'NFI Distributions'!AM$53:AM$1048576)</f>
        <v>0</v>
      </c>
      <c r="H80" s="106">
        <f>SUMIF('NFI Distributions'!AU$53:AU$1048576,Table10[[#This Row],[Pcode]],'NFI Distributions'!AN$53:AN$1048576)</f>
        <v>0</v>
      </c>
      <c r="I80" s="106">
        <f>SUMIF('NFI Distributions'!AU$53:AU$1048576,Table10[[#This Row],[Pcode]],'NFI Distributions'!AO$53:AO$1048576)</f>
        <v>0</v>
      </c>
      <c r="J80" s="106">
        <f ca="1">MAX(Table10[[#This Row],[HH]]*VLOOKUP("Winter Clothes Adult",NFI,6)-Table10[[#This Row],[Winter Clothes Adult ]],0)</f>
        <v>230</v>
      </c>
      <c r="K80" s="106">
        <f ca="1">MAX(Table10[[#This Row],[HH]]*VLOOKUP("Winter Clothes Children ",NFI,6)-Table10[[#This Row],[Winter Clothes Children ]],0)</f>
        <v>115</v>
      </c>
      <c r="L80" s="106">
        <f ca="1">MAX(Table10[[#This Row],[HH]]*VLOOKUP("Winter Items Other ",NFI,6)-Table10[[#This Row],[Winter Items Other ]],0)</f>
        <v>115</v>
      </c>
      <c r="M80" s="114" t="str">
        <f>IF(OR(Table10[[#This Row],[Winter Clothes Adult ]]&lt;&gt;0,Table10[[#This Row],[Winter Clothes Children ]]&lt;&gt;0,Table10[[#This Row],[Winter Items Other ]]&lt;&gt;0),"No","")</f>
        <v/>
      </c>
      <c r="N80" s="115">
        <f>COUNTIF(A:A,Table10[[#This Row],[Pcode]])-1</f>
        <v>0</v>
      </c>
    </row>
    <row r="81" spans="1:14" x14ac:dyDescent="0.3">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Distributions'!AU$53:AU$1048576,Table10[[#This Row],[Pcode]],'NFI Distributions'!AM$53:AM$1048576)</f>
        <v>0</v>
      </c>
      <c r="H81" s="106">
        <f>SUMIF('NFI Distributions'!AU$53:AU$1048576,Table10[[#This Row],[Pcode]],'NFI Distributions'!AN$53:AN$1048576)</f>
        <v>0</v>
      </c>
      <c r="I81" s="106">
        <f>SUMIF('NFI Distributions'!AU$53:AU$1048576,Table10[[#This Row],[Pcode]],'NFI Distributions'!AO$53:AO$1048576)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3">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44</v>
      </c>
      <c r="F82" s="106">
        <f ca="1">OFFSET(CampList[Total],MATCH(Table10[[#This Row],[Pcode]],CampList[CP_Pcode],0)-1,0,1,1)</f>
        <v>197</v>
      </c>
      <c r="G82" s="106">
        <f>SUMIF('NFI Distributions'!AU$53:AU$1048576,Table10[[#This Row],[Pcode]],'NFI Distributions'!AM$53:AM$1048576)</f>
        <v>0</v>
      </c>
      <c r="H82" s="106">
        <f>SUMIF('NFI Distributions'!AU$53:AU$1048576,Table10[[#This Row],[Pcode]],'NFI Distributions'!AN$53:AN$1048576)</f>
        <v>0</v>
      </c>
      <c r="I82" s="106">
        <f>SUMIF('NFI Distributions'!AU$53:AU$1048576,Table10[[#This Row],[Pcode]],'NFI Distributions'!AO$53:AO$1048576)</f>
        <v>0</v>
      </c>
      <c r="J82" s="106">
        <f ca="1">MAX(Table10[[#This Row],[HH]]*VLOOKUP("Winter Clothes Adult",NFI,6)-Table10[[#This Row],[Winter Clothes Adult ]],0)</f>
        <v>88</v>
      </c>
      <c r="K82" s="106">
        <f ca="1">MAX(Table10[[#This Row],[HH]]*VLOOKUP("Winter Clothes Children ",NFI,6)-Table10[[#This Row],[Winter Clothes Children ]],0)</f>
        <v>44</v>
      </c>
      <c r="L82" s="106">
        <f ca="1">MAX(Table10[[#This Row],[HH]]*VLOOKUP("Winter Items Other ",NFI,6)-Table10[[#This Row],[Winter Items Other ]],0)</f>
        <v>44</v>
      </c>
      <c r="M82" s="114" t="str">
        <f>IF(OR(Table10[[#This Row],[Winter Clothes Adult ]]&lt;&gt;0,Table10[[#This Row],[Winter Clothes Children ]]&lt;&gt;0,Table10[[#This Row],[Winter Items Other ]]&lt;&gt;0),"No","")</f>
        <v/>
      </c>
      <c r="N82" s="115">
        <f>COUNTIF(A:A,Table10[[#This Row],[Pcode]])-1</f>
        <v>0</v>
      </c>
    </row>
    <row r="83" spans="1:14" x14ac:dyDescent="0.3">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70</v>
      </c>
      <c r="G83" s="106">
        <f>SUMIF('NFI Distributions'!AU$53:AU$1048576,Table10[[#This Row],[Pcode]],'NFI Distributions'!AM$53:AM$1048576)</f>
        <v>0</v>
      </c>
      <c r="H83" s="106">
        <f>SUMIF('NFI Distributions'!AU$53:AU$1048576,Table10[[#This Row],[Pcode]],'NFI Distributions'!AN$53:AN$1048576)</f>
        <v>0</v>
      </c>
      <c r="I83" s="106">
        <f>SUMIF('NFI Distributions'!AU$53:AU$1048576,Table10[[#This Row],[Pcode]],'NFI Distributions'!AO$53:AO$1048576)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3">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Distributions'!AU$53:AU$1048576,Table10[[#This Row],[Pcode]],'NFI Distributions'!AM$53:AM$1048576)</f>
        <v>0</v>
      </c>
      <c r="H84" s="106">
        <f>SUMIF('NFI Distributions'!AU$53:AU$1048576,Table10[[#This Row],[Pcode]],'NFI Distributions'!AN$53:AN$1048576)</f>
        <v>0</v>
      </c>
      <c r="I84" s="106">
        <f>SUMIF('NFI Distributions'!AU$53:AU$1048576,Table10[[#This Row],[Pcode]],'NFI Distributions'!AO$53:AO$1048576)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3">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Distributions'!AU$53:AU$1048576,Table10[[#This Row],[Pcode]],'NFI Distributions'!AM$53:AM$1048576)</f>
        <v>0</v>
      </c>
      <c r="H85" s="106">
        <f>SUMIF('NFI Distributions'!AU$53:AU$1048576,Table10[[#This Row],[Pcode]],'NFI Distributions'!AN$53:AN$1048576)</f>
        <v>0</v>
      </c>
      <c r="I85" s="106">
        <f>SUMIF('NFI Distributions'!AU$53:AU$1048576,Table10[[#This Row],[Pcode]],'NFI Distributions'!AO$53:AO$1048576)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3">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Distributions'!AU$53:AU$1048576,Table10[[#This Row],[Pcode]],'NFI Distributions'!AM$53:AM$1048576)</f>
        <v>0</v>
      </c>
      <c r="H86" s="106">
        <f>SUMIF('NFI Distributions'!AU$53:AU$1048576,Table10[[#This Row],[Pcode]],'NFI Distributions'!AN$53:AN$1048576)</f>
        <v>0</v>
      </c>
      <c r="I86" s="106">
        <f>SUMIF('NFI Distributions'!AU$53:AU$1048576,Table10[[#This Row],[Pcode]],'NFI Distributions'!AO$53:AO$1048576)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3">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Distributions'!AU$53:AU$1048576,Table10[[#This Row],[Pcode]],'NFI Distributions'!AM$53:AM$1048576)</f>
        <v>0</v>
      </c>
      <c r="H87" s="106">
        <f>SUMIF('NFI Distributions'!AU$53:AU$1048576,Table10[[#This Row],[Pcode]],'NFI Distributions'!AN$53:AN$1048576)</f>
        <v>0</v>
      </c>
      <c r="I87" s="106">
        <f>SUMIF('NFI Distributions'!AU$53:AU$1048576,Table10[[#This Row],[Pcode]],'NFI Distributions'!AO$53:AO$1048576)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3">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102</v>
      </c>
      <c r="F88" s="106">
        <f ca="1">OFFSET(CampList[Total],MATCH(Table10[[#This Row],[Pcode]],CampList[CP_Pcode],0)-1,0,1,1)</f>
        <v>546</v>
      </c>
      <c r="G88" s="106">
        <f>SUMIF('NFI Distributions'!AU$53:AU$1048576,Table10[[#This Row],[Pcode]],'NFI Distributions'!AM$53:AM$1048576)</f>
        <v>0</v>
      </c>
      <c r="H88" s="106">
        <f>SUMIF('NFI Distributions'!AU$53:AU$1048576,Table10[[#This Row],[Pcode]],'NFI Distributions'!AN$53:AN$1048576)</f>
        <v>0</v>
      </c>
      <c r="I88" s="106">
        <f>SUMIF('NFI Distributions'!AU$53:AU$1048576,Table10[[#This Row],[Pcode]],'NFI Distributions'!AO$53:AO$1048576)</f>
        <v>0</v>
      </c>
      <c r="J88" s="106">
        <f ca="1">MAX(Table10[[#This Row],[HH]]*VLOOKUP("Winter Clothes Adult",NFI,6)-Table10[[#This Row],[Winter Clothes Adult ]],0)</f>
        <v>204</v>
      </c>
      <c r="K88" s="106">
        <f ca="1">MAX(Table10[[#This Row],[HH]]*VLOOKUP("Winter Clothes Children ",NFI,6)-Table10[[#This Row],[Winter Clothes Children ]],0)</f>
        <v>102</v>
      </c>
      <c r="L88" s="106">
        <f ca="1">MAX(Table10[[#This Row],[HH]]*VLOOKUP("Winter Items Other ",NFI,6)-Table10[[#This Row],[Winter Items Other ]],0)</f>
        <v>102</v>
      </c>
      <c r="M88" s="114" t="str">
        <f>IF(OR(Table10[[#This Row],[Winter Clothes Adult ]]&lt;&gt;0,Table10[[#This Row],[Winter Clothes Children ]]&lt;&gt;0,Table10[[#This Row],[Winter Items Other ]]&lt;&gt;0),"No","")</f>
        <v/>
      </c>
      <c r="N88" s="115">
        <f>COUNTIF(A:A,Table10[[#This Row],[Pcode]])-1</f>
        <v>0</v>
      </c>
    </row>
    <row r="89" spans="1:14" x14ac:dyDescent="0.3">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703</v>
      </c>
      <c r="G89" s="106">
        <f>SUMIF('NFI Distributions'!AU$53:AU$1048576,Table10[[#This Row],[Pcode]],'NFI Distributions'!AM$53:AM$1048576)</f>
        <v>0</v>
      </c>
      <c r="H89" s="106">
        <f>SUMIF('NFI Distributions'!AU$53:AU$1048576,Table10[[#This Row],[Pcode]],'NFI Distributions'!AN$53:AN$1048576)</f>
        <v>0</v>
      </c>
      <c r="I89" s="106">
        <f>SUMIF('NFI Distributions'!AU$53:AU$1048576,Table10[[#This Row],[Pcode]],'NFI Distributions'!AO$53:AO$1048576)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3">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19</v>
      </c>
      <c r="F90" s="106">
        <f ca="1">OFFSET(CampList[Total],MATCH(Table10[[#This Row],[Pcode]],CampList[CP_Pcode],0)-1,0,1,1)</f>
        <v>102</v>
      </c>
      <c r="G90" s="106">
        <f>SUMIF('NFI Distributions'!AU$53:AU$1048576,Table10[[#This Row],[Pcode]],'NFI Distributions'!AM$53:AM$1048576)</f>
        <v>0</v>
      </c>
      <c r="H90" s="106">
        <f>SUMIF('NFI Distributions'!AU$53:AU$1048576,Table10[[#This Row],[Pcode]],'NFI Distributions'!AN$53:AN$1048576)</f>
        <v>0</v>
      </c>
      <c r="I90" s="106">
        <f>SUMIF('NFI Distributions'!AU$53:AU$1048576,Table10[[#This Row],[Pcode]],'NFI Distributions'!AO$53:AO$1048576)</f>
        <v>0</v>
      </c>
      <c r="J90" s="106">
        <f ca="1">MAX(Table10[[#This Row],[HH]]*VLOOKUP("Winter Clothes Adult",NFI,6)-Table10[[#This Row],[Winter Clothes Adult ]],0)</f>
        <v>38</v>
      </c>
      <c r="K90" s="106">
        <f ca="1">MAX(Table10[[#This Row],[HH]]*VLOOKUP("Winter Clothes Children ",NFI,6)-Table10[[#This Row],[Winter Clothes Children ]],0)</f>
        <v>19</v>
      </c>
      <c r="L90" s="106">
        <f ca="1">MAX(Table10[[#This Row],[HH]]*VLOOKUP("Winter Items Other ",NFI,6)-Table10[[#This Row],[Winter Items Other ]],0)</f>
        <v>19</v>
      </c>
      <c r="M90" s="114" t="str">
        <f>IF(OR(Table10[[#This Row],[Winter Clothes Adult ]]&lt;&gt;0,Table10[[#This Row],[Winter Clothes Children ]]&lt;&gt;0,Table10[[#This Row],[Winter Items Other ]]&lt;&gt;0),"No","")</f>
        <v/>
      </c>
      <c r="N90" s="115">
        <f>COUNTIF(A:A,Table10[[#This Row],[Pcode]])-1</f>
        <v>0</v>
      </c>
    </row>
    <row r="91" spans="1:14" x14ac:dyDescent="0.3">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61</v>
      </c>
      <c r="G91" s="106">
        <f>SUMIF('NFI Distributions'!AU$53:AU$1048576,Table10[[#This Row],[Pcode]],'NFI Distributions'!AM$53:AM$1048576)</f>
        <v>0</v>
      </c>
      <c r="H91" s="106">
        <f>SUMIF('NFI Distributions'!AU$53:AU$1048576,Table10[[#This Row],[Pcode]],'NFI Distributions'!AN$53:AN$1048576)</f>
        <v>0</v>
      </c>
      <c r="I91" s="106">
        <f>SUMIF('NFI Distributions'!AU$53:AU$1048576,Table10[[#This Row],[Pcode]],'NFI Distributions'!AO$53:AO$1048576)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3">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129</v>
      </c>
      <c r="F92" s="106">
        <f ca="1">OFFSET(CampList[Total],MATCH(Table10[[#This Row],[Pcode]],CampList[CP_Pcode],0)-1,0,1,1)</f>
        <v>742</v>
      </c>
      <c r="G92" s="106">
        <f>SUMIF('NFI Distributions'!AU$53:AU$1048576,Table10[[#This Row],[Pcode]],'NFI Distributions'!AM$53:AM$1048576)</f>
        <v>0</v>
      </c>
      <c r="H92" s="106">
        <f>SUMIF('NFI Distributions'!AU$53:AU$1048576,Table10[[#This Row],[Pcode]],'NFI Distributions'!AN$53:AN$1048576)</f>
        <v>0</v>
      </c>
      <c r="I92" s="106">
        <f>SUMIF('NFI Distributions'!AU$53:AU$1048576,Table10[[#This Row],[Pcode]],'NFI Distributions'!AO$53:AO$1048576)</f>
        <v>0</v>
      </c>
      <c r="J92" s="106">
        <f ca="1">MAX(Table10[[#This Row],[HH]]*VLOOKUP("Winter Clothes Adult",NFI,6)-Table10[[#This Row],[Winter Clothes Adult ]],0)</f>
        <v>258</v>
      </c>
      <c r="K92" s="106">
        <f ca="1">MAX(Table10[[#This Row],[HH]]*VLOOKUP("Winter Clothes Children ",NFI,6)-Table10[[#This Row],[Winter Clothes Children ]],0)</f>
        <v>129</v>
      </c>
      <c r="L92" s="106">
        <f ca="1">MAX(Table10[[#This Row],[HH]]*VLOOKUP("Winter Items Other ",NFI,6)-Table10[[#This Row],[Winter Items Other ]],0)</f>
        <v>129</v>
      </c>
      <c r="M92" s="114" t="str">
        <f>IF(OR(Table10[[#This Row],[Winter Clothes Adult ]]&lt;&gt;0,Table10[[#This Row],[Winter Clothes Children ]]&lt;&gt;0,Table10[[#This Row],[Winter Items Other ]]&lt;&gt;0),"No","")</f>
        <v/>
      </c>
      <c r="N92" s="115">
        <f>COUNTIF(A:A,Table10[[#This Row],[Pcode]])-1</f>
        <v>0</v>
      </c>
    </row>
    <row r="93" spans="1:14" x14ac:dyDescent="0.3">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30</v>
      </c>
      <c r="F93" s="106">
        <f ca="1">OFFSET(CampList[Total],MATCH(Table10[[#This Row],[Pcode]],CampList[CP_Pcode],0)-1,0,1,1)</f>
        <v>176</v>
      </c>
      <c r="G93" s="106">
        <f>SUMIF('NFI Distributions'!AU$53:AU$1048576,Table10[[#This Row],[Pcode]],'NFI Distributions'!AM$53:AM$1048576)</f>
        <v>0</v>
      </c>
      <c r="H93" s="106">
        <f>SUMIF('NFI Distributions'!AU$53:AU$1048576,Table10[[#This Row],[Pcode]],'NFI Distributions'!AN$53:AN$1048576)</f>
        <v>0</v>
      </c>
      <c r="I93" s="106">
        <f>SUMIF('NFI Distributions'!AU$53:AU$1048576,Table10[[#This Row],[Pcode]],'NFI Distributions'!AO$53:AO$1048576)</f>
        <v>0</v>
      </c>
      <c r="J93" s="106">
        <f ca="1">MAX(Table10[[#This Row],[HH]]*VLOOKUP("Winter Clothes Adult",NFI,6)-Table10[[#This Row],[Winter Clothes Adult ]],0)</f>
        <v>60</v>
      </c>
      <c r="K93" s="106">
        <f ca="1">MAX(Table10[[#This Row],[HH]]*VLOOKUP("Winter Clothes Children ",NFI,6)-Table10[[#This Row],[Winter Clothes Children ]],0)</f>
        <v>30</v>
      </c>
      <c r="L93" s="106">
        <f ca="1">MAX(Table10[[#This Row],[HH]]*VLOOKUP("Winter Items Other ",NFI,6)-Table10[[#This Row],[Winter Items Other ]],0)</f>
        <v>30</v>
      </c>
      <c r="M93" s="114" t="str">
        <f>IF(OR(Table10[[#This Row],[Winter Clothes Adult ]]&lt;&gt;0,Table10[[#This Row],[Winter Clothes Children ]]&lt;&gt;0,Table10[[#This Row],[Winter Items Other ]]&lt;&gt;0),"No","")</f>
        <v/>
      </c>
      <c r="N93" s="115">
        <f>COUNTIF(A:A,Table10[[#This Row],[Pcode]])-1</f>
        <v>0</v>
      </c>
    </row>
    <row r="94" spans="1:14" x14ac:dyDescent="0.3">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Distributions'!AU$53:AU$1048576,Table10[[#This Row],[Pcode]],'NFI Distributions'!AM$53:AM$1048576)</f>
        <v>0</v>
      </c>
      <c r="H94" s="106">
        <f>SUMIF('NFI Distributions'!AU$53:AU$1048576,Table10[[#This Row],[Pcode]],'NFI Distributions'!AN$53:AN$1048576)</f>
        <v>0</v>
      </c>
      <c r="I94" s="106">
        <f>SUMIF('NFI Distributions'!AU$53:AU$1048576,Table10[[#This Row],[Pcode]],'NFI Distributions'!AO$53:AO$1048576)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3">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339</v>
      </c>
      <c r="F95" s="106">
        <f ca="1">OFFSET(CampList[Total],MATCH(Table10[[#This Row],[Pcode]],CampList[CP_Pcode],0)-1,0,1,1)</f>
        <v>1975</v>
      </c>
      <c r="G95" s="106">
        <f>SUMIF('NFI Distributions'!AU$53:AU$1048576,Table10[[#This Row],[Pcode]],'NFI Distributions'!AM$53:AM$1048576)</f>
        <v>0</v>
      </c>
      <c r="H95" s="106">
        <f>SUMIF('NFI Distributions'!AU$53:AU$1048576,Table10[[#This Row],[Pcode]],'NFI Distributions'!AN$53:AN$1048576)</f>
        <v>0</v>
      </c>
      <c r="I95" s="106">
        <f>SUMIF('NFI Distributions'!AU$53:AU$1048576,Table10[[#This Row],[Pcode]],'NFI Distributions'!AO$53:AO$1048576)</f>
        <v>0</v>
      </c>
      <c r="J95" s="106">
        <f ca="1">MAX(Table10[[#This Row],[HH]]*VLOOKUP("Winter Clothes Adult",NFI,6)-Table10[[#This Row],[Winter Clothes Adult ]],0)</f>
        <v>678</v>
      </c>
      <c r="K95" s="106">
        <f ca="1">MAX(Table10[[#This Row],[HH]]*VLOOKUP("Winter Clothes Children ",NFI,6)-Table10[[#This Row],[Winter Clothes Children ]],0)</f>
        <v>339</v>
      </c>
      <c r="L95" s="106">
        <f ca="1">MAX(Table10[[#This Row],[HH]]*VLOOKUP("Winter Items Other ",NFI,6)-Table10[[#This Row],[Winter Items Other ]],0)</f>
        <v>339</v>
      </c>
      <c r="M95" s="114" t="str">
        <f>IF(OR(Table10[[#This Row],[Winter Clothes Adult ]]&lt;&gt;0,Table10[[#This Row],[Winter Clothes Children ]]&lt;&gt;0,Table10[[#This Row],[Winter Items Other ]]&lt;&gt;0),"No","")</f>
        <v/>
      </c>
      <c r="N95" s="115">
        <f>COUNTIF(A:A,Table10[[#This Row],[Pcode]])-1</f>
        <v>0</v>
      </c>
    </row>
    <row r="96" spans="1:14" x14ac:dyDescent="0.3">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285</v>
      </c>
      <c r="F96" s="106">
        <f ca="1">OFFSET(CampList[Total],MATCH(Table10[[#This Row],[Pcode]],CampList[CP_Pcode],0)-1,0,1,1)</f>
        <v>1508</v>
      </c>
      <c r="G96" s="106">
        <f>SUMIF('NFI Distributions'!AU$53:AU$1048576,Table10[[#This Row],[Pcode]],'NFI Distributions'!AM$53:AM$1048576)</f>
        <v>0</v>
      </c>
      <c r="H96" s="106">
        <f>SUMIF('NFI Distributions'!AU$53:AU$1048576,Table10[[#This Row],[Pcode]],'NFI Distributions'!AN$53:AN$1048576)</f>
        <v>0</v>
      </c>
      <c r="I96" s="106">
        <f>SUMIF('NFI Distributions'!AU$53:AU$1048576,Table10[[#This Row],[Pcode]],'NFI Distributions'!AO$53:AO$1048576)</f>
        <v>0</v>
      </c>
      <c r="J96" s="106">
        <f ca="1">MAX(Table10[[#This Row],[HH]]*VLOOKUP("Winter Clothes Adult",NFI,6)-Table10[[#This Row],[Winter Clothes Adult ]],0)</f>
        <v>570</v>
      </c>
      <c r="K96" s="106">
        <f ca="1">MAX(Table10[[#This Row],[HH]]*VLOOKUP("Winter Clothes Children ",NFI,6)-Table10[[#This Row],[Winter Clothes Children ]],0)</f>
        <v>285</v>
      </c>
      <c r="L96" s="106">
        <f ca="1">MAX(Table10[[#This Row],[HH]]*VLOOKUP("Winter Items Other ",NFI,6)-Table10[[#This Row],[Winter Items Other ]],0)</f>
        <v>285</v>
      </c>
      <c r="M96" s="114" t="str">
        <f>IF(OR(Table10[[#This Row],[Winter Clothes Adult ]]&lt;&gt;0,Table10[[#This Row],[Winter Clothes Children ]]&lt;&gt;0,Table10[[#This Row],[Winter Items Other ]]&lt;&gt;0),"No","")</f>
        <v/>
      </c>
      <c r="N96" s="115">
        <f>COUNTIF(A:A,Table10[[#This Row],[Pcode]])-1</f>
        <v>0</v>
      </c>
    </row>
    <row r="97" spans="1:14" x14ac:dyDescent="0.3">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510</v>
      </c>
      <c r="F97" s="106">
        <f ca="1">OFFSET(CampList[Total],MATCH(Table10[[#This Row],[Pcode]],CampList[CP_Pcode],0)-1,0,1,1)</f>
        <v>2680</v>
      </c>
      <c r="G97" s="106">
        <f>SUMIF('NFI Distributions'!AU$53:AU$1048576,Table10[[#This Row],[Pcode]],'NFI Distributions'!AM$53:AM$1048576)</f>
        <v>0</v>
      </c>
      <c r="H97" s="106">
        <f>SUMIF('NFI Distributions'!AU$53:AU$1048576,Table10[[#This Row],[Pcode]],'NFI Distributions'!AN$53:AN$1048576)</f>
        <v>0</v>
      </c>
      <c r="I97" s="106">
        <f>SUMIF('NFI Distributions'!AU$53:AU$1048576,Table10[[#This Row],[Pcode]],'NFI Distributions'!AO$53:AO$1048576)</f>
        <v>0</v>
      </c>
      <c r="J97" s="106">
        <f ca="1">MAX(Table10[[#This Row],[HH]]*VLOOKUP("Winter Clothes Adult",NFI,6)-Table10[[#This Row],[Winter Clothes Adult ]],0)</f>
        <v>1020</v>
      </c>
      <c r="K97" s="106">
        <f ca="1">MAX(Table10[[#This Row],[HH]]*VLOOKUP("Winter Clothes Children ",NFI,6)-Table10[[#This Row],[Winter Clothes Children ]],0)</f>
        <v>510</v>
      </c>
      <c r="L97" s="106">
        <f ca="1">MAX(Table10[[#This Row],[HH]]*VLOOKUP("Winter Items Other ",NFI,6)-Table10[[#This Row],[Winter Items Other ]],0)</f>
        <v>510</v>
      </c>
      <c r="M97" s="114" t="str">
        <f>IF(OR(Table10[[#This Row],[Winter Clothes Adult ]]&lt;&gt;0,Table10[[#This Row],[Winter Clothes Children ]]&lt;&gt;0,Table10[[#This Row],[Winter Items Other ]]&lt;&gt;0),"No","")</f>
        <v/>
      </c>
      <c r="N97" s="115">
        <f>COUNTIF(A:A,Table10[[#This Row],[Pcode]])-1</f>
        <v>0</v>
      </c>
    </row>
    <row r="98" spans="1:14" x14ac:dyDescent="0.3">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47</v>
      </c>
      <c r="F98" s="106">
        <f ca="1">OFFSET(CampList[Total],MATCH(Table10[[#This Row],[Pcode]],CampList[CP_Pcode],0)-1,0,1,1)</f>
        <v>208</v>
      </c>
      <c r="G98" s="106">
        <f>SUMIF('NFI Distributions'!AU$53:AU$1048576,Table10[[#This Row],[Pcode]],'NFI Distributions'!AM$53:AM$1048576)</f>
        <v>0</v>
      </c>
      <c r="H98" s="106">
        <f>SUMIF('NFI Distributions'!AU$53:AU$1048576,Table10[[#This Row],[Pcode]],'NFI Distributions'!AN$53:AN$1048576)</f>
        <v>0</v>
      </c>
      <c r="I98" s="106">
        <f>SUMIF('NFI Distributions'!AU$53:AU$1048576,Table10[[#This Row],[Pcode]],'NFI Distributions'!AO$53:AO$1048576)</f>
        <v>0</v>
      </c>
      <c r="J98" s="106">
        <f ca="1">MAX(Table10[[#This Row],[HH]]*VLOOKUP("Winter Clothes Adult",NFI,6)-Table10[[#This Row],[Winter Clothes Adult ]],0)</f>
        <v>94</v>
      </c>
      <c r="K98" s="106">
        <f ca="1">MAX(Table10[[#This Row],[HH]]*VLOOKUP("Winter Clothes Children ",NFI,6)-Table10[[#This Row],[Winter Clothes Children ]],0)</f>
        <v>47</v>
      </c>
      <c r="L98" s="106">
        <f ca="1">MAX(Table10[[#This Row],[HH]]*VLOOKUP("Winter Items Other ",NFI,6)-Table10[[#This Row],[Winter Items Other ]],0)</f>
        <v>47</v>
      </c>
      <c r="M98" s="114" t="str">
        <f>IF(OR(Table10[[#This Row],[Winter Clothes Adult ]]&lt;&gt;0,Table10[[#This Row],[Winter Clothes Children ]]&lt;&gt;0,Table10[[#This Row],[Winter Items Other ]]&lt;&gt;0),"No","")</f>
        <v/>
      </c>
      <c r="N98" s="115">
        <f>COUNTIF(A:A,Table10[[#This Row],[Pcode]])-1</f>
        <v>0</v>
      </c>
    </row>
    <row r="99" spans="1:14" x14ac:dyDescent="0.3">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2149</v>
      </c>
      <c r="G99" s="106">
        <f>SUMIF('NFI Distributions'!AU$53:AU$1048576,Table10[[#This Row],[Pcode]],'NFI Distributions'!AM$53:AM$1048576)</f>
        <v>0</v>
      </c>
      <c r="H99" s="106">
        <f>SUMIF('NFI Distributions'!AU$53:AU$1048576,Table10[[#This Row],[Pcode]],'NFI Distributions'!AN$53:AN$1048576)</f>
        <v>0</v>
      </c>
      <c r="I99" s="106">
        <f>SUMIF('NFI Distributions'!AU$53:AU$1048576,Table10[[#This Row],[Pcode]],'NFI Distributions'!AO$53:AO$1048576)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3">
      <c r="A100" s="102" t="s">
        <v>846</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169</v>
      </c>
      <c r="F100" s="106">
        <f ca="1">OFFSET(CampList[Total],MATCH(Table10[[#This Row],[Pcode]],CampList[CP_Pcode],0)-1,0,1,1)</f>
        <v>775</v>
      </c>
      <c r="G100" s="106">
        <f>SUMIF('NFI Distributions'!AU$53:AU$1048576,Table10[[#This Row],[Pcode]],'NFI Distributions'!AM$53:AM$1048576)</f>
        <v>0</v>
      </c>
      <c r="H100" s="106">
        <f>SUMIF('NFI Distributions'!AU$53:AU$1048576,Table10[[#This Row],[Pcode]],'NFI Distributions'!AN$53:AN$1048576)</f>
        <v>0</v>
      </c>
      <c r="I100" s="106">
        <f>SUMIF('NFI Distributions'!AU$53:AU$1048576,Table10[[#This Row],[Pcode]],'NFI Distributions'!AO$53:AO$1048576)</f>
        <v>0</v>
      </c>
      <c r="J100" s="106">
        <f ca="1">MAX(Table10[[#This Row],[HH]]*VLOOKUP("Winter Clothes Adult",NFI,6)-Table10[[#This Row],[Winter Clothes Adult ]],0)</f>
        <v>338</v>
      </c>
      <c r="K100" s="106">
        <f ca="1">MAX(Table10[[#This Row],[HH]]*VLOOKUP("Winter Clothes Children ",NFI,6)-Table10[[#This Row],[Winter Clothes Children ]],0)</f>
        <v>169</v>
      </c>
      <c r="L100" s="106">
        <f ca="1">MAX(Table10[[#This Row],[HH]]*VLOOKUP("Winter Items Other ",NFI,6)-Table10[[#This Row],[Winter Items Other ]],0)</f>
        <v>169</v>
      </c>
      <c r="M100" s="114" t="str">
        <f>IF(OR(Table10[[#This Row],[Winter Clothes Adult ]]&lt;&gt;0,Table10[[#This Row],[Winter Clothes Children ]]&lt;&gt;0,Table10[[#This Row],[Winter Items Other ]]&lt;&gt;0),"No","")</f>
        <v/>
      </c>
      <c r="N100" s="115">
        <f>COUNTIF(A:A,Table10[[#This Row],[Pcode]])-1</f>
        <v>0</v>
      </c>
    </row>
    <row r="101" spans="1:14" x14ac:dyDescent="0.3">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61</v>
      </c>
      <c r="F101" s="106">
        <f ca="1">OFFSET(CampList[Total],MATCH(Table10[[#This Row],[Pcode]],CampList[CP_Pcode],0)-1,0,1,1)</f>
        <v>302</v>
      </c>
      <c r="G101" s="106">
        <f>SUMIF('NFI Distributions'!AU$53:AU$1048576,Table10[[#This Row],[Pcode]],'NFI Distributions'!AM$53:AM$1048576)</f>
        <v>0</v>
      </c>
      <c r="H101" s="106">
        <f>SUMIF('NFI Distributions'!AU$53:AU$1048576,Table10[[#This Row],[Pcode]],'NFI Distributions'!AN$53:AN$1048576)</f>
        <v>0</v>
      </c>
      <c r="I101" s="106">
        <f>SUMIF('NFI Distributions'!AU$53:AU$1048576,Table10[[#This Row],[Pcode]],'NFI Distributions'!AO$53:AO$1048576)</f>
        <v>0</v>
      </c>
      <c r="J101" s="106">
        <f ca="1">MAX(Table10[[#This Row],[HH]]*VLOOKUP("Winter Clothes Adult",NFI,6)-Table10[[#This Row],[Winter Clothes Adult ]],0)</f>
        <v>122</v>
      </c>
      <c r="K101" s="106">
        <f ca="1">MAX(Table10[[#This Row],[HH]]*VLOOKUP("Winter Clothes Children ",NFI,6)-Table10[[#This Row],[Winter Clothes Children ]],0)</f>
        <v>61</v>
      </c>
      <c r="L101" s="106">
        <f ca="1">MAX(Table10[[#This Row],[HH]]*VLOOKUP("Winter Items Other ",NFI,6)-Table10[[#This Row],[Winter Items Other ]],0)</f>
        <v>61</v>
      </c>
      <c r="M101" s="114" t="str">
        <f>IF(OR(Table10[[#This Row],[Winter Clothes Adult ]]&lt;&gt;0,Table10[[#This Row],[Winter Clothes Children ]]&lt;&gt;0,Table10[[#This Row],[Winter Items Other ]]&lt;&gt;0),"No","")</f>
        <v/>
      </c>
      <c r="N101" s="115">
        <f>COUNTIF(A:A,Table10[[#This Row],[Pcode]])-1</f>
        <v>0</v>
      </c>
    </row>
    <row r="102" spans="1:14" x14ac:dyDescent="0.3">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281</v>
      </c>
      <c r="F102" s="106">
        <f ca="1">OFFSET(CampList[Total],MATCH(Table10[[#This Row],[Pcode]],CampList[CP_Pcode],0)-1,0,1,1)</f>
        <v>1256</v>
      </c>
      <c r="G102" s="106">
        <f>SUMIF('NFI Distributions'!AU$53:AU$1048576,Table10[[#This Row],[Pcode]],'NFI Distributions'!AM$53:AM$1048576)</f>
        <v>0</v>
      </c>
      <c r="H102" s="106">
        <f>SUMIF('NFI Distributions'!AU$53:AU$1048576,Table10[[#This Row],[Pcode]],'NFI Distributions'!AN$53:AN$1048576)</f>
        <v>0</v>
      </c>
      <c r="I102" s="106">
        <f>SUMIF('NFI Distributions'!AU$53:AU$1048576,Table10[[#This Row],[Pcode]],'NFI Distributions'!AO$53:AO$1048576)</f>
        <v>0</v>
      </c>
      <c r="J102" s="106">
        <f ca="1">MAX(Table10[[#This Row],[HH]]*VLOOKUP("Winter Clothes Adult",NFI,6)-Table10[[#This Row],[Winter Clothes Adult ]],0)</f>
        <v>562</v>
      </c>
      <c r="K102" s="106">
        <f ca="1">MAX(Table10[[#This Row],[HH]]*VLOOKUP("Winter Clothes Children ",NFI,6)-Table10[[#This Row],[Winter Clothes Children ]],0)</f>
        <v>281</v>
      </c>
      <c r="L102" s="106">
        <f ca="1">MAX(Table10[[#This Row],[HH]]*VLOOKUP("Winter Items Other ",NFI,6)-Table10[[#This Row],[Winter Items Other ]],0)</f>
        <v>281</v>
      </c>
      <c r="M102" s="114" t="str">
        <f>IF(OR(Table10[[#This Row],[Winter Clothes Adult ]]&lt;&gt;0,Table10[[#This Row],[Winter Clothes Children ]]&lt;&gt;0,Table10[[#This Row],[Winter Items Other ]]&lt;&gt;0),"No","")</f>
        <v/>
      </c>
      <c r="N102" s="115">
        <f>COUNTIF(A:A,Table10[[#This Row],[Pcode]])-1</f>
        <v>0</v>
      </c>
    </row>
    <row r="103" spans="1:14" x14ac:dyDescent="0.3">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Distributions'!AU$53:AU$1048576,Table10[[#This Row],[Pcode]],'NFI Distributions'!AM$53:AM$1048576)</f>
        <v>0</v>
      </c>
      <c r="H103" s="106">
        <f>SUMIF('NFI Distributions'!AU$53:AU$1048576,Table10[[#This Row],[Pcode]],'NFI Distributions'!AN$53:AN$1048576)</f>
        <v>0</v>
      </c>
      <c r="I103" s="106">
        <f>SUMIF('NFI Distributions'!AU$53:AU$1048576,Table10[[#This Row],[Pcode]],'NFI Distributions'!AO$53:AO$1048576)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3">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Distributions'!AU$53:AU$1048576,Table10[[#This Row],[Pcode]],'NFI Distributions'!AM$53:AM$1048576)</f>
        <v>0</v>
      </c>
      <c r="H104" s="106">
        <f>SUMIF('NFI Distributions'!AU$53:AU$1048576,Table10[[#This Row],[Pcode]],'NFI Distributions'!AN$53:AN$1048576)</f>
        <v>0</v>
      </c>
      <c r="I104" s="106">
        <f>SUMIF('NFI Distributions'!AU$53:AU$1048576,Table10[[#This Row],[Pcode]],'NFI Distributions'!AO$53:AO$1048576)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3">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Distributions'!AU$53:AU$1048576,Table10[[#This Row],[Pcode]],'NFI Distributions'!AM$53:AM$1048576)</f>
        <v>0</v>
      </c>
      <c r="H105" s="106">
        <f>SUMIF('NFI Distributions'!AU$53:AU$1048576,Table10[[#This Row],[Pcode]],'NFI Distributions'!AN$53:AN$1048576)</f>
        <v>0</v>
      </c>
      <c r="I105" s="106">
        <f>SUMIF('NFI Distributions'!AU$53:AU$1048576,Table10[[#This Row],[Pcode]],'NFI Distributions'!AO$53:AO$1048576)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3">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649</v>
      </c>
      <c r="G106" s="106">
        <f>SUMIF('NFI Distributions'!AU$53:AU$1048576,Table10[[#This Row],[Pcode]],'NFI Distributions'!AM$53:AM$1048576)</f>
        <v>0</v>
      </c>
      <c r="H106" s="106">
        <f>SUMIF('NFI Distributions'!AU$53:AU$1048576,Table10[[#This Row],[Pcode]],'NFI Distributions'!AN$53:AN$1048576)</f>
        <v>0</v>
      </c>
      <c r="I106" s="106">
        <f>SUMIF('NFI Distributions'!AU$53:AU$1048576,Table10[[#This Row],[Pcode]],'NFI Distributions'!AO$53:AO$1048576)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3">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446</v>
      </c>
      <c r="F107" s="106">
        <f ca="1">OFFSET(CampList[Total],MATCH(Table10[[#This Row],[Pcode]],CampList[CP_Pcode],0)-1,0,1,1)</f>
        <v>2329</v>
      </c>
      <c r="G107" s="106">
        <f>SUMIF('NFI Distributions'!AU$53:AU$1048576,Table10[[#This Row],[Pcode]],'NFI Distributions'!AM$53:AM$1048576)</f>
        <v>0</v>
      </c>
      <c r="H107" s="106">
        <f>SUMIF('NFI Distributions'!AU$53:AU$1048576,Table10[[#This Row],[Pcode]],'NFI Distributions'!AN$53:AN$1048576)</f>
        <v>0</v>
      </c>
      <c r="I107" s="106">
        <f>SUMIF('NFI Distributions'!AU$53:AU$1048576,Table10[[#This Row],[Pcode]],'NFI Distributions'!AO$53:AO$1048576)</f>
        <v>0</v>
      </c>
      <c r="J107" s="106">
        <f ca="1">MAX(Table10[[#This Row],[HH]]*VLOOKUP("Winter Clothes Adult",NFI,6)-Table10[[#This Row],[Winter Clothes Adult ]],0)</f>
        <v>892</v>
      </c>
      <c r="K107" s="106">
        <f ca="1">MAX(Table10[[#This Row],[HH]]*VLOOKUP("Winter Clothes Children ",NFI,6)-Table10[[#This Row],[Winter Clothes Children ]],0)</f>
        <v>446</v>
      </c>
      <c r="L107" s="106">
        <f ca="1">MAX(Table10[[#This Row],[HH]]*VLOOKUP("Winter Items Other ",NFI,6)-Table10[[#This Row],[Winter Items Other ]],0)</f>
        <v>446</v>
      </c>
      <c r="M107" s="114" t="str">
        <f>IF(OR(Table10[[#This Row],[Winter Clothes Adult ]]&lt;&gt;0,Table10[[#This Row],[Winter Clothes Children ]]&lt;&gt;0,Table10[[#This Row],[Winter Items Other ]]&lt;&gt;0),"No","")</f>
        <v/>
      </c>
      <c r="N107" s="115">
        <f>COUNTIF(A:A,Table10[[#This Row],[Pcode]])-1</f>
        <v>0</v>
      </c>
    </row>
    <row r="108" spans="1:14" x14ac:dyDescent="0.3">
      <c r="A108" s="102" t="s">
        <v>912</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156</v>
      </c>
      <c r="F108" s="106">
        <f ca="1">OFFSET(CampList[Total],MATCH(Table10[[#This Row],[Pcode]],CampList[CP_Pcode],0)-1,0,1,1)</f>
        <v>711</v>
      </c>
      <c r="G108" s="106">
        <f>SUMIF('NFI Distributions'!AU$53:AU$1048576,Table10[[#This Row],[Pcode]],'NFI Distributions'!AM$53:AM$1048576)</f>
        <v>0</v>
      </c>
      <c r="H108" s="106">
        <f>SUMIF('NFI Distributions'!AU$53:AU$1048576,Table10[[#This Row],[Pcode]],'NFI Distributions'!AN$53:AN$1048576)</f>
        <v>0</v>
      </c>
      <c r="I108" s="106">
        <f>SUMIF('NFI Distributions'!AU$53:AU$1048576,Table10[[#This Row],[Pcode]],'NFI Distributions'!AO$53:AO$1048576)</f>
        <v>0</v>
      </c>
      <c r="J108" s="106">
        <f ca="1">MAX(Table10[[#This Row],[HH]]*VLOOKUP("Winter Clothes Adult",NFI,6)-Table10[[#This Row],[Winter Clothes Adult ]],0)</f>
        <v>312</v>
      </c>
      <c r="K108" s="106">
        <f ca="1">MAX(Table10[[#This Row],[HH]]*VLOOKUP("Winter Clothes Children ",NFI,6)-Table10[[#This Row],[Winter Clothes Children ]],0)</f>
        <v>156</v>
      </c>
      <c r="L108" s="106">
        <f ca="1">MAX(Table10[[#This Row],[HH]]*VLOOKUP("Winter Items Other ",NFI,6)-Table10[[#This Row],[Winter Items Other ]],0)</f>
        <v>156</v>
      </c>
      <c r="M108" s="114" t="str">
        <f>IF(OR(Table10[[#This Row],[Winter Clothes Adult ]]&lt;&gt;0,Table10[[#This Row],[Winter Clothes Children ]]&lt;&gt;0,Table10[[#This Row],[Winter Items Other ]]&lt;&gt;0),"No","")</f>
        <v/>
      </c>
      <c r="N108" s="115">
        <f>COUNTIF(A:A,Table10[[#This Row],[Pcode]])-1</f>
        <v>0</v>
      </c>
    </row>
    <row r="109" spans="1:14" x14ac:dyDescent="0.3">
      <c r="A109" s="102"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Distributions'!AU$53:AU$1048576,Table10[[#This Row],[Pcode]],'NFI Distributions'!AM$53:AM$1048576)</f>
        <v>0</v>
      </c>
      <c r="H109" s="106">
        <f>SUMIF('NFI Distributions'!AU$53:AU$1048576,Table10[[#This Row],[Pcode]],'NFI Distributions'!AN$53:AN$1048576)</f>
        <v>0</v>
      </c>
      <c r="I109" s="106">
        <f>SUMIF('NFI Distributions'!AU$53:AU$1048576,Table10[[#This Row],[Pcode]],'NFI Distributions'!AO$53:AO$1048576)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3">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Distributions'!AU$53:AU$1048576,Table10[[#This Row],[Pcode]],'NFI Distributions'!AM$53:AM$1048576)</f>
        <v>0</v>
      </c>
      <c r="H110" s="106">
        <f>SUMIF('NFI Distributions'!AU$53:AU$1048576,Table10[[#This Row],[Pcode]],'NFI Distributions'!AN$53:AN$1048576)</f>
        <v>0</v>
      </c>
      <c r="I110" s="106">
        <f>SUMIF('NFI Distributions'!AU$53:AU$1048576,Table10[[#This Row],[Pcode]],'NFI Distributions'!AO$53:AO$1048576)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3">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16</v>
      </c>
      <c r="F111" s="106">
        <f ca="1">OFFSET(CampList[Total],MATCH(Table10[[#This Row],[Pcode]],CampList[CP_Pcode],0)-1,0,1,1)</f>
        <v>79</v>
      </c>
      <c r="G111" s="106">
        <f>SUMIF('NFI Distributions'!AU$53:AU$1048576,Table10[[#This Row],[Pcode]],'NFI Distributions'!AM$53:AM$1048576)</f>
        <v>0</v>
      </c>
      <c r="H111" s="106">
        <f>SUMIF('NFI Distributions'!AU$53:AU$1048576,Table10[[#This Row],[Pcode]],'NFI Distributions'!AN$53:AN$1048576)</f>
        <v>0</v>
      </c>
      <c r="I111" s="106">
        <f>SUMIF('NFI Distributions'!AU$53:AU$1048576,Table10[[#This Row],[Pcode]],'NFI Distributions'!AO$53:AO$1048576)</f>
        <v>0</v>
      </c>
      <c r="J111" s="106">
        <f ca="1">MAX(Table10[[#This Row],[HH]]*VLOOKUP("Winter Clothes Adult",NFI,6)-Table10[[#This Row],[Winter Clothes Adult ]],0)</f>
        <v>32</v>
      </c>
      <c r="K111" s="106">
        <f ca="1">MAX(Table10[[#This Row],[HH]]*VLOOKUP("Winter Clothes Children ",NFI,6)-Table10[[#This Row],[Winter Clothes Children ]],0)</f>
        <v>16</v>
      </c>
      <c r="L111" s="106">
        <f ca="1">MAX(Table10[[#This Row],[HH]]*VLOOKUP("Winter Items Other ",NFI,6)-Table10[[#This Row],[Winter Items Other ]],0)</f>
        <v>16</v>
      </c>
      <c r="M111" s="114" t="str">
        <f>IF(OR(Table10[[#This Row],[Winter Clothes Adult ]]&lt;&gt;0,Table10[[#This Row],[Winter Clothes Children ]]&lt;&gt;0,Table10[[#This Row],[Winter Items Other ]]&lt;&gt;0),"No","")</f>
        <v/>
      </c>
      <c r="N111" s="115">
        <f>COUNTIF(A:A,Table10[[#This Row],[Pcode]])-1</f>
        <v>0</v>
      </c>
    </row>
    <row r="112" spans="1:14" x14ac:dyDescent="0.3">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185</v>
      </c>
      <c r="F112" s="106">
        <f ca="1">OFFSET(CampList[Total],MATCH(Table10[[#This Row],[Pcode]],CampList[CP_Pcode],0)-1,0,1,1)</f>
        <v>830</v>
      </c>
      <c r="G112" s="106">
        <f>SUMIF('NFI Distributions'!AU$53:AU$1048576,Table10[[#This Row],[Pcode]],'NFI Distributions'!AM$53:AM$1048576)</f>
        <v>0</v>
      </c>
      <c r="H112" s="106">
        <f>SUMIF('NFI Distributions'!AU$53:AU$1048576,Table10[[#This Row],[Pcode]],'NFI Distributions'!AN$53:AN$1048576)</f>
        <v>0</v>
      </c>
      <c r="I112" s="106">
        <f>SUMIF('NFI Distributions'!AU$53:AU$1048576,Table10[[#This Row],[Pcode]],'NFI Distributions'!AO$53:AO$1048576)</f>
        <v>0</v>
      </c>
      <c r="J112" s="106">
        <f ca="1">MAX(Table10[[#This Row],[HH]]*VLOOKUP("Winter Clothes Adult",NFI,6)-Table10[[#This Row],[Winter Clothes Adult ]],0)</f>
        <v>370</v>
      </c>
      <c r="K112" s="106">
        <f ca="1">MAX(Table10[[#This Row],[HH]]*VLOOKUP("Winter Clothes Children ",NFI,6)-Table10[[#This Row],[Winter Clothes Children ]],0)</f>
        <v>185</v>
      </c>
      <c r="L112" s="106">
        <f ca="1">MAX(Table10[[#This Row],[HH]]*VLOOKUP("Winter Items Other ",NFI,6)-Table10[[#This Row],[Winter Items Other ]],0)</f>
        <v>185</v>
      </c>
      <c r="M112" s="114" t="str">
        <f>IF(OR(Table10[[#This Row],[Winter Clothes Adult ]]&lt;&gt;0,Table10[[#This Row],[Winter Clothes Children ]]&lt;&gt;0,Table10[[#This Row],[Winter Items Other ]]&lt;&gt;0),"No","")</f>
        <v/>
      </c>
      <c r="N112" s="115">
        <f>COUNTIF(A:A,Table10[[#This Row],[Pcode]])-1</f>
        <v>0</v>
      </c>
    </row>
    <row r="113" spans="1:14" x14ac:dyDescent="0.3">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24</v>
      </c>
      <c r="F113" s="106">
        <f ca="1">OFFSET(CampList[Total],MATCH(Table10[[#This Row],[Pcode]],CampList[CP_Pcode],0)-1,0,1,1)</f>
        <v>97</v>
      </c>
      <c r="G113" s="106">
        <f>SUMIF('NFI Distributions'!AU$53:AU$1048576,Table10[[#This Row],[Pcode]],'NFI Distributions'!AM$53:AM$1048576)</f>
        <v>0</v>
      </c>
      <c r="H113" s="106">
        <f>SUMIF('NFI Distributions'!AU$53:AU$1048576,Table10[[#This Row],[Pcode]],'NFI Distributions'!AN$53:AN$1048576)</f>
        <v>0</v>
      </c>
      <c r="I113" s="106">
        <f>SUMIF('NFI Distributions'!AU$53:AU$1048576,Table10[[#This Row],[Pcode]],'NFI Distributions'!AO$53:AO$1048576)</f>
        <v>0</v>
      </c>
      <c r="J113" s="106">
        <f ca="1">MAX(Table10[[#This Row],[HH]]*VLOOKUP("Winter Clothes Adult",NFI,6)-Table10[[#This Row],[Winter Clothes Adult ]],0)</f>
        <v>48</v>
      </c>
      <c r="K113" s="106">
        <f ca="1">MAX(Table10[[#This Row],[HH]]*VLOOKUP("Winter Clothes Children ",NFI,6)-Table10[[#This Row],[Winter Clothes Children ]],0)</f>
        <v>24</v>
      </c>
      <c r="L113" s="106">
        <f ca="1">MAX(Table10[[#This Row],[HH]]*VLOOKUP("Winter Items Other ",NFI,6)-Table10[[#This Row],[Winter Items Other ]],0)</f>
        <v>24</v>
      </c>
      <c r="M113" s="114" t="str">
        <f>IF(OR(Table10[[#This Row],[Winter Clothes Adult ]]&lt;&gt;0,Table10[[#This Row],[Winter Clothes Children ]]&lt;&gt;0,Table10[[#This Row],[Winter Items Other ]]&lt;&gt;0),"No","")</f>
        <v/>
      </c>
      <c r="N113" s="115">
        <f>COUNTIF(A:A,Table10[[#This Row],[Pcode]])-1</f>
        <v>0</v>
      </c>
    </row>
    <row r="114" spans="1:14" x14ac:dyDescent="0.3">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14</v>
      </c>
      <c r="F114" s="106">
        <f ca="1">OFFSET(CampList[Total],MATCH(Table10[[#This Row],[Pcode]],CampList[CP_Pcode],0)-1,0,1,1)</f>
        <v>76</v>
      </c>
      <c r="G114" s="106">
        <f>SUMIF('NFI Distributions'!AU$53:AU$1048576,Table10[[#This Row],[Pcode]],'NFI Distributions'!AM$53:AM$1048576)</f>
        <v>0</v>
      </c>
      <c r="H114" s="106">
        <f>SUMIF('NFI Distributions'!AU$53:AU$1048576,Table10[[#This Row],[Pcode]],'NFI Distributions'!AN$53:AN$1048576)</f>
        <v>0</v>
      </c>
      <c r="I114" s="106">
        <f>SUMIF('NFI Distributions'!AU$53:AU$1048576,Table10[[#This Row],[Pcode]],'NFI Distributions'!AO$53:AO$1048576)</f>
        <v>0</v>
      </c>
      <c r="J114" s="106">
        <f ca="1">MAX(Table10[[#This Row],[HH]]*VLOOKUP("Winter Clothes Adult",NFI,6)-Table10[[#This Row],[Winter Clothes Adult ]],0)</f>
        <v>28</v>
      </c>
      <c r="K114" s="106">
        <f ca="1">MAX(Table10[[#This Row],[HH]]*VLOOKUP("Winter Clothes Children ",NFI,6)-Table10[[#This Row],[Winter Clothes Children ]],0)</f>
        <v>14</v>
      </c>
      <c r="L114" s="106">
        <f ca="1">MAX(Table10[[#This Row],[HH]]*VLOOKUP("Winter Items Other ",NFI,6)-Table10[[#This Row],[Winter Items Other ]],0)</f>
        <v>14</v>
      </c>
      <c r="M114" s="114" t="str">
        <f>IF(OR(Table10[[#This Row],[Winter Clothes Adult ]]&lt;&gt;0,Table10[[#This Row],[Winter Clothes Children ]]&lt;&gt;0,Table10[[#This Row],[Winter Items Other ]]&lt;&gt;0),"No","")</f>
        <v/>
      </c>
      <c r="N114" s="115">
        <f>COUNTIF(A:A,Table10[[#This Row],[Pcode]])-1</f>
        <v>0</v>
      </c>
    </row>
    <row r="115" spans="1:14" x14ac:dyDescent="0.3">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4</v>
      </c>
      <c r="F115" s="106">
        <f ca="1">OFFSET(CampList[Total],MATCH(Table10[[#This Row],[Pcode]],CampList[CP_Pcode],0)-1,0,1,1)</f>
        <v>15</v>
      </c>
      <c r="G115" s="106">
        <f>SUMIF('NFI Distributions'!AU$53:AU$1048576,Table10[[#This Row],[Pcode]],'NFI Distributions'!AM$53:AM$1048576)</f>
        <v>0</v>
      </c>
      <c r="H115" s="106">
        <f>SUMIF('NFI Distributions'!AU$53:AU$1048576,Table10[[#This Row],[Pcode]],'NFI Distributions'!AN$53:AN$1048576)</f>
        <v>0</v>
      </c>
      <c r="I115" s="106">
        <f>SUMIF('NFI Distributions'!AU$53:AU$1048576,Table10[[#This Row],[Pcode]],'NFI Distributions'!AO$53:AO$1048576)</f>
        <v>0</v>
      </c>
      <c r="J115" s="106">
        <f ca="1">MAX(Table10[[#This Row],[HH]]*VLOOKUP("Winter Clothes Adult",NFI,6)-Table10[[#This Row],[Winter Clothes Adult ]],0)</f>
        <v>8</v>
      </c>
      <c r="K115" s="106">
        <f ca="1">MAX(Table10[[#This Row],[HH]]*VLOOKUP("Winter Clothes Children ",NFI,6)-Table10[[#This Row],[Winter Clothes Children ]],0)</f>
        <v>4</v>
      </c>
      <c r="L115" s="106">
        <f ca="1">MAX(Table10[[#This Row],[HH]]*VLOOKUP("Winter Items Other ",NFI,6)-Table10[[#This Row],[Winter Items Other ]],0)</f>
        <v>4</v>
      </c>
      <c r="M115" s="114" t="str">
        <f>IF(OR(Table10[[#This Row],[Winter Clothes Adult ]]&lt;&gt;0,Table10[[#This Row],[Winter Clothes Children ]]&lt;&gt;0,Table10[[#This Row],[Winter Items Other ]]&lt;&gt;0),"No","")</f>
        <v/>
      </c>
      <c r="N115" s="115">
        <f>COUNTIF(A:A,Table10[[#This Row],[Pcode]])-1</f>
        <v>0</v>
      </c>
    </row>
    <row r="116" spans="1:14" x14ac:dyDescent="0.3">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415</v>
      </c>
      <c r="F116" s="106">
        <f ca="1">OFFSET(CampList[Total],MATCH(Table10[[#This Row],[Pcode]],CampList[CP_Pcode],0)-1,0,1,1)</f>
        <v>1898</v>
      </c>
      <c r="G116" s="106">
        <f>SUMIF('NFI Distributions'!AU$53:AU$1048576,Table10[[#This Row],[Pcode]],'NFI Distributions'!AM$53:AM$1048576)</f>
        <v>0</v>
      </c>
      <c r="H116" s="106">
        <f>SUMIF('NFI Distributions'!AU$53:AU$1048576,Table10[[#This Row],[Pcode]],'NFI Distributions'!AN$53:AN$1048576)</f>
        <v>0</v>
      </c>
      <c r="I116" s="106">
        <f>SUMIF('NFI Distributions'!AU$53:AU$1048576,Table10[[#This Row],[Pcode]],'NFI Distributions'!AO$53:AO$1048576)</f>
        <v>0</v>
      </c>
      <c r="J116" s="106">
        <f ca="1">MAX(Table10[[#This Row],[HH]]*VLOOKUP("Winter Clothes Adult",NFI,6)-Table10[[#This Row],[Winter Clothes Adult ]],0)</f>
        <v>830</v>
      </c>
      <c r="K116" s="106">
        <f ca="1">MAX(Table10[[#This Row],[HH]]*VLOOKUP("Winter Clothes Children ",NFI,6)-Table10[[#This Row],[Winter Clothes Children ]],0)</f>
        <v>415</v>
      </c>
      <c r="L116" s="106">
        <f ca="1">MAX(Table10[[#This Row],[HH]]*VLOOKUP("Winter Items Other ",NFI,6)-Table10[[#This Row],[Winter Items Other ]],0)</f>
        <v>415</v>
      </c>
      <c r="M116" s="114" t="str">
        <f>IF(OR(Table10[[#This Row],[Winter Clothes Adult ]]&lt;&gt;0,Table10[[#This Row],[Winter Clothes Children ]]&lt;&gt;0,Table10[[#This Row],[Winter Items Other ]]&lt;&gt;0),"No","")</f>
        <v/>
      </c>
      <c r="N116" s="115">
        <f>COUNTIF(A:A,Table10[[#This Row],[Pcode]])-1</f>
        <v>0</v>
      </c>
    </row>
    <row r="117" spans="1:14" x14ac:dyDescent="0.3">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Distributions'!AU$53:AU$1048576,Table10[[#This Row],[Pcode]],'NFI Distributions'!AM$53:AM$1048576)</f>
        <v>0</v>
      </c>
      <c r="H117" s="106">
        <f>SUMIF('NFI Distributions'!AU$53:AU$1048576,Table10[[#This Row],[Pcode]],'NFI Distributions'!AN$53:AN$1048576)</f>
        <v>0</v>
      </c>
      <c r="I117" s="106">
        <f>SUMIF('NFI Distributions'!AU$53:AU$1048576,Table10[[#This Row],[Pcode]],'NFI Distributions'!AO$53:AO$1048576)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3">
      <c r="A118" s="102" t="s">
        <v>904</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42</v>
      </c>
      <c r="F118" s="106">
        <f ca="1">OFFSET(CampList[Total],MATCH(Table10[[#This Row],[Pcode]],CampList[CP_Pcode],0)-1,0,1,1)</f>
        <v>192</v>
      </c>
      <c r="G118" s="106">
        <f>SUMIF('NFI Distributions'!AU$53:AU$1048576,Table10[[#This Row],[Pcode]],'NFI Distributions'!AM$53:AM$1048576)</f>
        <v>0</v>
      </c>
      <c r="H118" s="106">
        <f>SUMIF('NFI Distributions'!AU$53:AU$1048576,Table10[[#This Row],[Pcode]],'NFI Distributions'!AN$53:AN$1048576)</f>
        <v>0</v>
      </c>
      <c r="I118" s="106">
        <f>SUMIF('NFI Distributions'!AU$53:AU$1048576,Table10[[#This Row],[Pcode]],'NFI Distributions'!AO$53:AO$1048576)</f>
        <v>0</v>
      </c>
      <c r="J118" s="106">
        <f ca="1">MAX(Table10[[#This Row],[HH]]*VLOOKUP("Winter Clothes Adult",NFI,6)-Table10[[#This Row],[Winter Clothes Adult ]],0)</f>
        <v>84</v>
      </c>
      <c r="K118" s="106">
        <f ca="1">MAX(Table10[[#This Row],[HH]]*VLOOKUP("Winter Clothes Children ",NFI,6)-Table10[[#This Row],[Winter Clothes Children ]],0)</f>
        <v>42</v>
      </c>
      <c r="L118" s="106">
        <f ca="1">MAX(Table10[[#This Row],[HH]]*VLOOKUP("Winter Items Other ",NFI,6)-Table10[[#This Row],[Winter Items Other ]],0)</f>
        <v>42</v>
      </c>
      <c r="M118" s="114" t="str">
        <f>IF(OR(Table10[[#This Row],[Winter Clothes Adult ]]&lt;&gt;0,Table10[[#This Row],[Winter Clothes Children ]]&lt;&gt;0,Table10[[#This Row],[Winter Items Other ]]&lt;&gt;0),"No","")</f>
        <v/>
      </c>
      <c r="N118" s="115">
        <f>COUNTIF(A:A,Table10[[#This Row],[Pcode]])-1</f>
        <v>0</v>
      </c>
    </row>
    <row r="119" spans="1:14" x14ac:dyDescent="0.3">
      <c r="A119" s="102" t="s">
        <v>914</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18</v>
      </c>
      <c r="F119" s="106">
        <f ca="1">OFFSET(CampList[Total],MATCH(Table10[[#This Row],[Pcode]],CampList[CP_Pcode],0)-1,0,1,1)</f>
        <v>80</v>
      </c>
      <c r="G119" s="106">
        <f>SUMIF('NFI Distributions'!AU$53:AU$1048576,Table10[[#This Row],[Pcode]],'NFI Distributions'!AM$53:AM$1048576)</f>
        <v>0</v>
      </c>
      <c r="H119" s="106">
        <f>SUMIF('NFI Distributions'!AU$53:AU$1048576,Table10[[#This Row],[Pcode]],'NFI Distributions'!AN$53:AN$1048576)</f>
        <v>0</v>
      </c>
      <c r="I119" s="106">
        <f>SUMIF('NFI Distributions'!AU$53:AU$1048576,Table10[[#This Row],[Pcode]],'NFI Distributions'!AO$53:AO$1048576)</f>
        <v>0</v>
      </c>
      <c r="J119" s="106">
        <f ca="1">MAX(Table10[[#This Row],[HH]]*VLOOKUP("Winter Clothes Adult",NFI,6)-Table10[[#This Row],[Winter Clothes Adult ]],0)</f>
        <v>36</v>
      </c>
      <c r="K119" s="106">
        <f ca="1">MAX(Table10[[#This Row],[HH]]*VLOOKUP("Winter Clothes Children ",NFI,6)-Table10[[#This Row],[Winter Clothes Children ]],0)</f>
        <v>18</v>
      </c>
      <c r="L119" s="106">
        <f ca="1">MAX(Table10[[#This Row],[HH]]*VLOOKUP("Winter Items Other ",NFI,6)-Table10[[#This Row],[Winter Items Other ]],0)</f>
        <v>18</v>
      </c>
      <c r="M119" s="114" t="str">
        <f>IF(OR(Table10[[#This Row],[Winter Clothes Adult ]]&lt;&gt;0,Table10[[#This Row],[Winter Clothes Children ]]&lt;&gt;0,Table10[[#This Row],[Winter Items Other ]]&lt;&gt;0),"No","")</f>
        <v/>
      </c>
      <c r="N119" s="115">
        <f>COUNTIF(A:A,Table10[[#This Row],[Pcode]])-1</f>
        <v>0</v>
      </c>
    </row>
    <row r="120" spans="1:14" x14ac:dyDescent="0.3">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59</v>
      </c>
      <c r="G120" s="106">
        <f>SUMIF('NFI Distributions'!AU$53:AU$1048576,Table10[[#This Row],[Pcode]],'NFI Distributions'!AM$53:AM$1048576)</f>
        <v>0</v>
      </c>
      <c r="H120" s="106">
        <f>SUMIF('NFI Distributions'!AU$53:AU$1048576,Table10[[#This Row],[Pcode]],'NFI Distributions'!AN$53:AN$1048576)</f>
        <v>0</v>
      </c>
      <c r="I120" s="106">
        <f>SUMIF('NFI Distributions'!AU$53:AU$1048576,Table10[[#This Row],[Pcode]],'NFI Distributions'!AO$53:AO$1048576)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3">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Distributions'!AU$53:AU$1048576,Table10[[#This Row],[Pcode]],'NFI Distributions'!AM$53:AM$1048576)</f>
        <v>0</v>
      </c>
      <c r="H121" s="106">
        <f>SUMIF('NFI Distributions'!AU$53:AU$1048576,Table10[[#This Row],[Pcode]],'NFI Distributions'!AN$53:AN$1048576)</f>
        <v>0</v>
      </c>
      <c r="I121" s="106">
        <f>SUMIF('NFI Distributions'!AU$53:AU$1048576,Table10[[#This Row],[Pcode]],'NFI Distributions'!AO$53:AO$1048576)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3">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47</v>
      </c>
      <c r="F122" s="106">
        <f ca="1">OFFSET(CampList[Total],MATCH(Table10[[#This Row],[Pcode]],CampList[CP_Pcode],0)-1,0,1,1)</f>
        <v>153</v>
      </c>
      <c r="G122" s="106">
        <f>SUMIF('NFI Distributions'!AU$53:AU$1048576,Table10[[#This Row],[Pcode]],'NFI Distributions'!AM$53:AM$1048576)</f>
        <v>0</v>
      </c>
      <c r="H122" s="106">
        <f>SUMIF('NFI Distributions'!AU$53:AU$1048576,Table10[[#This Row],[Pcode]],'NFI Distributions'!AN$53:AN$1048576)</f>
        <v>0</v>
      </c>
      <c r="I122" s="106">
        <f>SUMIF('NFI Distributions'!AU$53:AU$1048576,Table10[[#This Row],[Pcode]],'NFI Distributions'!AO$53:AO$1048576)</f>
        <v>0</v>
      </c>
      <c r="J122" s="106">
        <f ca="1">MAX(Table10[[#This Row],[HH]]*VLOOKUP("Winter Clothes Adult",NFI,6)-Table10[[#This Row],[Winter Clothes Adult ]],0)</f>
        <v>94</v>
      </c>
      <c r="K122" s="106">
        <f ca="1">MAX(Table10[[#This Row],[HH]]*VLOOKUP("Winter Clothes Children ",NFI,6)-Table10[[#This Row],[Winter Clothes Children ]],0)</f>
        <v>47</v>
      </c>
      <c r="L122" s="106">
        <f ca="1">MAX(Table10[[#This Row],[HH]]*VLOOKUP("Winter Items Other ",NFI,6)-Table10[[#This Row],[Winter Items Other ]],0)</f>
        <v>47</v>
      </c>
      <c r="M122" s="114" t="str">
        <f>IF(OR(Table10[[#This Row],[Winter Clothes Adult ]]&lt;&gt;0,Table10[[#This Row],[Winter Clothes Children ]]&lt;&gt;0,Table10[[#This Row],[Winter Items Other ]]&lt;&gt;0),"No","")</f>
        <v/>
      </c>
      <c r="N122" s="115">
        <f>COUNTIF(A:A,Table10[[#This Row],[Pcode]])-1</f>
        <v>0</v>
      </c>
    </row>
    <row r="123" spans="1:14" x14ac:dyDescent="0.3">
      <c r="A123" s="102" t="s">
        <v>906</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38</v>
      </c>
      <c r="F123" s="106">
        <f ca="1">OFFSET(CampList[Total],MATCH(Table10[[#This Row],[Pcode]],CampList[CP_Pcode],0)-1,0,1,1)</f>
        <v>200</v>
      </c>
      <c r="G123" s="106">
        <f>SUMIF('NFI Distributions'!AU$53:AU$1048576,Table10[[#This Row],[Pcode]],'NFI Distributions'!AM$53:AM$1048576)</f>
        <v>0</v>
      </c>
      <c r="H123" s="106">
        <f>SUMIF('NFI Distributions'!AU$53:AU$1048576,Table10[[#This Row],[Pcode]],'NFI Distributions'!AN$53:AN$1048576)</f>
        <v>0</v>
      </c>
      <c r="I123" s="106">
        <f>SUMIF('NFI Distributions'!AU$53:AU$1048576,Table10[[#This Row],[Pcode]],'NFI Distributions'!AO$53:AO$1048576)</f>
        <v>0</v>
      </c>
      <c r="J123" s="106">
        <f ca="1">MAX(Table10[[#This Row],[HH]]*VLOOKUP("Winter Clothes Adult",NFI,6)-Table10[[#This Row],[Winter Clothes Adult ]],0)</f>
        <v>76</v>
      </c>
      <c r="K123" s="106">
        <f ca="1">MAX(Table10[[#This Row],[HH]]*VLOOKUP("Winter Clothes Children ",NFI,6)-Table10[[#This Row],[Winter Clothes Children ]],0)</f>
        <v>38</v>
      </c>
      <c r="L123" s="106">
        <f ca="1">MAX(Table10[[#This Row],[HH]]*VLOOKUP("Winter Items Other ",NFI,6)-Table10[[#This Row],[Winter Items Other ]],0)</f>
        <v>38</v>
      </c>
      <c r="M123" s="114" t="str">
        <f>IF(OR(Table10[[#This Row],[Winter Clothes Adult ]]&lt;&gt;0,Table10[[#This Row],[Winter Clothes Children ]]&lt;&gt;0,Table10[[#This Row],[Winter Items Other ]]&lt;&gt;0),"No","")</f>
        <v/>
      </c>
      <c r="N123" s="115">
        <f>COUNTIF(A:A,Table10[[#This Row],[Pcode]])-1</f>
        <v>0</v>
      </c>
    </row>
    <row r="124" spans="1:14" x14ac:dyDescent="0.3">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46</v>
      </c>
      <c r="G124" s="106">
        <f>SUMIF('NFI Distributions'!AU$53:AU$1048576,Table10[[#This Row],[Pcode]],'NFI Distributions'!AM$53:AM$1048576)</f>
        <v>0</v>
      </c>
      <c r="H124" s="106">
        <f>SUMIF('NFI Distributions'!AU$53:AU$1048576,Table10[[#This Row],[Pcode]],'NFI Distributions'!AN$53:AN$1048576)</f>
        <v>0</v>
      </c>
      <c r="I124" s="106">
        <f>SUMIF('NFI Distributions'!AU$53:AU$1048576,Table10[[#This Row],[Pcode]],'NFI Distributions'!AO$53:AO$1048576)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3">
      <c r="A125" s="102" t="s">
        <v>910</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126</v>
      </c>
      <c r="F125" s="106">
        <f ca="1">OFFSET(CampList[Total],MATCH(Table10[[#This Row],[Pcode]],CampList[CP_Pcode],0)-1,0,1,1)</f>
        <v>575</v>
      </c>
      <c r="G125" s="106">
        <f>SUMIF('NFI Distributions'!AU$53:AU$1048576,Table10[[#This Row],[Pcode]],'NFI Distributions'!AM$53:AM$1048576)</f>
        <v>0</v>
      </c>
      <c r="H125" s="106">
        <f>SUMIF('NFI Distributions'!AU$53:AU$1048576,Table10[[#This Row],[Pcode]],'NFI Distributions'!AN$53:AN$1048576)</f>
        <v>0</v>
      </c>
      <c r="I125" s="106">
        <f>SUMIF('NFI Distributions'!AU$53:AU$1048576,Table10[[#This Row],[Pcode]],'NFI Distributions'!AO$53:AO$1048576)</f>
        <v>0</v>
      </c>
      <c r="J125" s="106">
        <f ca="1">MAX(Table10[[#This Row],[HH]]*VLOOKUP("Winter Clothes Adult",NFI,6)-Table10[[#This Row],[Winter Clothes Adult ]],0)</f>
        <v>252</v>
      </c>
      <c r="K125" s="106">
        <f ca="1">MAX(Table10[[#This Row],[HH]]*VLOOKUP("Winter Clothes Children ",NFI,6)-Table10[[#This Row],[Winter Clothes Children ]],0)</f>
        <v>126</v>
      </c>
      <c r="L125" s="106">
        <f ca="1">MAX(Table10[[#This Row],[HH]]*VLOOKUP("Winter Items Other ",NFI,6)-Table10[[#This Row],[Winter Items Other ]],0)</f>
        <v>126</v>
      </c>
      <c r="M125" s="114" t="str">
        <f>IF(OR(Table10[[#This Row],[Winter Clothes Adult ]]&lt;&gt;0,Table10[[#This Row],[Winter Clothes Children ]]&lt;&gt;0,Table10[[#This Row],[Winter Items Other ]]&lt;&gt;0),"No","")</f>
        <v/>
      </c>
      <c r="N125" s="115">
        <f>COUNTIF(A:A,Table10[[#This Row],[Pcode]])-1</f>
        <v>0</v>
      </c>
    </row>
    <row r="126" spans="1:14" x14ac:dyDescent="0.3">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58</v>
      </c>
      <c r="F126" s="106">
        <f ca="1">OFFSET(CampList[Total],MATCH(Table10[[#This Row],[Pcode]],CampList[CP_Pcode],0)-1,0,1,1)</f>
        <v>308</v>
      </c>
      <c r="G126" s="106">
        <f>SUMIF('NFI Distributions'!AU$53:AU$1048576,Table10[[#This Row],[Pcode]],'NFI Distributions'!AM$53:AM$1048576)</f>
        <v>0</v>
      </c>
      <c r="H126" s="106">
        <f>SUMIF('NFI Distributions'!AU$53:AU$1048576,Table10[[#This Row],[Pcode]],'NFI Distributions'!AN$53:AN$1048576)</f>
        <v>0</v>
      </c>
      <c r="I126" s="106">
        <f>SUMIF('NFI Distributions'!AU$53:AU$1048576,Table10[[#This Row],[Pcode]],'NFI Distributions'!AO$53:AO$1048576)</f>
        <v>0</v>
      </c>
      <c r="J126" s="106">
        <f ca="1">MAX(Table10[[#This Row],[HH]]*VLOOKUP("Winter Clothes Adult",NFI,6)-Table10[[#This Row],[Winter Clothes Adult ]],0)</f>
        <v>116</v>
      </c>
      <c r="K126" s="106">
        <f ca="1">MAX(Table10[[#This Row],[HH]]*VLOOKUP("Winter Clothes Children ",NFI,6)-Table10[[#This Row],[Winter Clothes Children ]],0)</f>
        <v>58</v>
      </c>
      <c r="L126" s="106">
        <f ca="1">MAX(Table10[[#This Row],[HH]]*VLOOKUP("Winter Items Other ",NFI,6)-Table10[[#This Row],[Winter Items Other ]],0)</f>
        <v>58</v>
      </c>
      <c r="M126" s="114" t="str">
        <f>IF(OR(Table10[[#This Row],[Winter Clothes Adult ]]&lt;&gt;0,Table10[[#This Row],[Winter Clothes Children ]]&lt;&gt;0,Table10[[#This Row],[Winter Items Other ]]&lt;&gt;0),"No","")</f>
        <v/>
      </c>
      <c r="N126" s="115">
        <f>COUNTIF(A:A,Table10[[#This Row],[Pcode]])-1</f>
        <v>0</v>
      </c>
    </row>
    <row r="127" spans="1:14" x14ac:dyDescent="0.3">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15</v>
      </c>
      <c r="F127" s="106">
        <f ca="1">OFFSET(CampList[Total],MATCH(Table10[[#This Row],[Pcode]],CampList[CP_Pcode],0)-1,0,1,1)</f>
        <v>68</v>
      </c>
      <c r="G127" s="106">
        <f>SUMIF('NFI Distributions'!AU$53:AU$1048576,Table10[[#This Row],[Pcode]],'NFI Distributions'!AM$53:AM$1048576)</f>
        <v>0</v>
      </c>
      <c r="H127" s="106">
        <f>SUMIF('NFI Distributions'!AU$53:AU$1048576,Table10[[#This Row],[Pcode]],'NFI Distributions'!AN$53:AN$1048576)</f>
        <v>0</v>
      </c>
      <c r="I127" s="106">
        <f>SUMIF('NFI Distributions'!AU$53:AU$1048576,Table10[[#This Row],[Pcode]],'NFI Distributions'!AO$53:AO$1048576)</f>
        <v>0</v>
      </c>
      <c r="J127" s="106">
        <f ca="1">MAX(Table10[[#This Row],[HH]]*VLOOKUP("Winter Clothes Adult",NFI,6)-Table10[[#This Row],[Winter Clothes Adult ]],0)</f>
        <v>30</v>
      </c>
      <c r="K127" s="106">
        <f ca="1">MAX(Table10[[#This Row],[HH]]*VLOOKUP("Winter Clothes Children ",NFI,6)-Table10[[#This Row],[Winter Clothes Children ]],0)</f>
        <v>15</v>
      </c>
      <c r="L127" s="106">
        <f ca="1">MAX(Table10[[#This Row],[HH]]*VLOOKUP("Winter Items Other ",NFI,6)-Table10[[#This Row],[Winter Items Other ]],0)</f>
        <v>15</v>
      </c>
      <c r="M127" s="114" t="str">
        <f>IF(OR(Table10[[#This Row],[Winter Clothes Adult ]]&lt;&gt;0,Table10[[#This Row],[Winter Clothes Children ]]&lt;&gt;0,Table10[[#This Row],[Winter Items Other ]]&lt;&gt;0),"No","")</f>
        <v/>
      </c>
      <c r="N127" s="115">
        <f>COUNTIF(A:A,Table10[[#This Row],[Pcode]])-1</f>
        <v>0</v>
      </c>
    </row>
    <row r="128" spans="1:14" x14ac:dyDescent="0.3">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49</v>
      </c>
      <c r="F128" s="106">
        <f ca="1">OFFSET(CampList[Total],MATCH(Table10[[#This Row],[Pcode]],CampList[CP_Pcode],0)-1,0,1,1)</f>
        <v>230</v>
      </c>
      <c r="G128" s="106">
        <f>SUMIF('NFI Distributions'!AU$53:AU$1048576,Table10[[#This Row],[Pcode]],'NFI Distributions'!AM$53:AM$1048576)</f>
        <v>0</v>
      </c>
      <c r="H128" s="106">
        <f>SUMIF('NFI Distributions'!AU$53:AU$1048576,Table10[[#This Row],[Pcode]],'NFI Distributions'!AN$53:AN$1048576)</f>
        <v>0</v>
      </c>
      <c r="I128" s="106">
        <f>SUMIF('NFI Distributions'!AU$53:AU$1048576,Table10[[#This Row],[Pcode]],'NFI Distributions'!AO$53:AO$1048576)</f>
        <v>0</v>
      </c>
      <c r="J128" s="106">
        <f ca="1">MAX(Table10[[#This Row],[HH]]*VLOOKUP("Winter Clothes Adult",NFI,6)-Table10[[#This Row],[Winter Clothes Adult ]],0)</f>
        <v>98</v>
      </c>
      <c r="K128" s="106">
        <f ca="1">MAX(Table10[[#This Row],[HH]]*VLOOKUP("Winter Clothes Children ",NFI,6)-Table10[[#This Row],[Winter Clothes Children ]],0)</f>
        <v>49</v>
      </c>
      <c r="L128" s="106">
        <f ca="1">MAX(Table10[[#This Row],[HH]]*VLOOKUP("Winter Items Other ",NFI,6)-Table10[[#This Row],[Winter Items Other ]],0)</f>
        <v>49</v>
      </c>
      <c r="M128" s="114" t="str">
        <f>IF(OR(Table10[[#This Row],[Winter Clothes Adult ]]&lt;&gt;0,Table10[[#This Row],[Winter Clothes Children ]]&lt;&gt;0,Table10[[#This Row],[Winter Items Other ]]&lt;&gt;0),"No","")</f>
        <v/>
      </c>
      <c r="N128" s="115">
        <f>COUNTIF(A:A,Table10[[#This Row],[Pcode]])-1</f>
        <v>0</v>
      </c>
    </row>
    <row r="129" spans="1:14" x14ac:dyDescent="0.3">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Distributions'!AU$53:AU$1048576,Table10[[#This Row],[Pcode]],'NFI Distributions'!AM$53:AM$1048576)</f>
        <v>0</v>
      </c>
      <c r="H129" s="106">
        <f>SUMIF('NFI Distributions'!AU$53:AU$1048576,Table10[[#This Row],[Pcode]],'NFI Distributions'!AN$53:AN$1048576)</f>
        <v>0</v>
      </c>
      <c r="I129" s="106">
        <f>SUMIF('NFI Distributions'!AU$53:AU$1048576,Table10[[#This Row],[Pcode]],'NFI Distributions'!AO$53:AO$1048576)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3">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Distributions'!AU$53:AU$1048576,Table10[[#This Row],[Pcode]],'NFI Distributions'!AM$53:AM$1048576)</f>
        <v>0</v>
      </c>
      <c r="H130" s="106">
        <f>SUMIF('NFI Distributions'!AU$53:AU$1048576,Table10[[#This Row],[Pcode]],'NFI Distributions'!AN$53:AN$1048576)</f>
        <v>0</v>
      </c>
      <c r="I130" s="106">
        <f>SUMIF('NFI Distributions'!AU$53:AU$1048576,Table10[[#This Row],[Pcode]],'NFI Distributions'!AO$53:AO$1048576)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3">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41</v>
      </c>
      <c r="G131" s="106">
        <f>SUMIF('NFI Distributions'!AU$53:AU$1048576,Table10[[#This Row],[Pcode]],'NFI Distributions'!AM$53:AM$1048576)</f>
        <v>0</v>
      </c>
      <c r="H131" s="106">
        <f>SUMIF('NFI Distributions'!AU$53:AU$1048576,Table10[[#This Row],[Pcode]],'NFI Distributions'!AN$53:AN$1048576)</f>
        <v>0</v>
      </c>
      <c r="I131" s="106">
        <f>SUMIF('NFI Distributions'!AU$53:AU$1048576,Table10[[#This Row],[Pcode]],'NFI Distributions'!AO$53:AO$1048576)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3">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20</v>
      </c>
      <c r="F132" s="106">
        <f ca="1">OFFSET(CampList[Total],MATCH(Table10[[#This Row],[Pcode]],CampList[CP_Pcode],0)-1,0,1,1)</f>
        <v>86</v>
      </c>
      <c r="G132" s="106">
        <f>SUMIF('NFI Distributions'!AU$53:AU$1048576,Table10[[#This Row],[Pcode]],'NFI Distributions'!AM$53:AM$1048576)</f>
        <v>0</v>
      </c>
      <c r="H132" s="106">
        <f>SUMIF('NFI Distributions'!AU$53:AU$1048576,Table10[[#This Row],[Pcode]],'NFI Distributions'!AN$53:AN$1048576)</f>
        <v>0</v>
      </c>
      <c r="I132" s="106">
        <f>SUMIF('NFI Distributions'!AU$53:AU$1048576,Table10[[#This Row],[Pcode]],'NFI Distributions'!AO$53:AO$1048576)</f>
        <v>0</v>
      </c>
      <c r="J132" s="106">
        <f ca="1">MAX(Table10[[#This Row],[HH]]*VLOOKUP("Winter Clothes Adult",NFI,6)-Table10[[#This Row],[Winter Clothes Adult ]],0)</f>
        <v>40</v>
      </c>
      <c r="K132" s="106">
        <f ca="1">MAX(Table10[[#This Row],[HH]]*VLOOKUP("Winter Clothes Children ",NFI,6)-Table10[[#This Row],[Winter Clothes Children ]],0)</f>
        <v>20</v>
      </c>
      <c r="L132" s="106">
        <f ca="1">MAX(Table10[[#This Row],[HH]]*VLOOKUP("Winter Items Other ",NFI,6)-Table10[[#This Row],[Winter Items Other ]],0)</f>
        <v>20</v>
      </c>
      <c r="M132" s="114" t="str">
        <f>IF(OR(Table10[[#This Row],[Winter Clothes Adult ]]&lt;&gt;0,Table10[[#This Row],[Winter Clothes Children ]]&lt;&gt;0,Table10[[#This Row],[Winter Items Other ]]&lt;&gt;0),"No","")</f>
        <v/>
      </c>
      <c r="N132" s="115">
        <f>COUNTIF(A:A,Table10[[#This Row],[Pcode]])-1</f>
        <v>0</v>
      </c>
    </row>
    <row r="133" spans="1:14" x14ac:dyDescent="0.3">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24</v>
      </c>
      <c r="F133" s="106">
        <f ca="1">OFFSET(CampList[Total],MATCH(Table10[[#This Row],[Pcode]],CampList[CP_Pcode],0)-1,0,1,1)</f>
        <v>115</v>
      </c>
      <c r="G133" s="106">
        <f>SUMIF('NFI Distributions'!AU$53:AU$1048576,Table10[[#This Row],[Pcode]],'NFI Distributions'!AM$53:AM$1048576)</f>
        <v>0</v>
      </c>
      <c r="H133" s="106">
        <f>SUMIF('NFI Distributions'!AU$53:AU$1048576,Table10[[#This Row],[Pcode]],'NFI Distributions'!AN$53:AN$1048576)</f>
        <v>0</v>
      </c>
      <c r="I133" s="106">
        <f>SUMIF('NFI Distributions'!AU$53:AU$1048576,Table10[[#This Row],[Pcode]],'NFI Distributions'!AO$53:AO$1048576)</f>
        <v>0</v>
      </c>
      <c r="J133" s="106">
        <f ca="1">MAX(Table10[[#This Row],[HH]]*VLOOKUP("Winter Clothes Adult",NFI,6)-Table10[[#This Row],[Winter Clothes Adult ]],0)</f>
        <v>48</v>
      </c>
      <c r="K133" s="106">
        <f ca="1">MAX(Table10[[#This Row],[HH]]*VLOOKUP("Winter Clothes Children ",NFI,6)-Table10[[#This Row],[Winter Clothes Children ]],0)</f>
        <v>24</v>
      </c>
      <c r="L133" s="106">
        <f ca="1">MAX(Table10[[#This Row],[HH]]*VLOOKUP("Winter Items Other ",NFI,6)-Table10[[#This Row],[Winter Items Other ]],0)</f>
        <v>24</v>
      </c>
      <c r="M133" s="114" t="str">
        <f>IF(OR(Table10[[#This Row],[Winter Clothes Adult ]]&lt;&gt;0,Table10[[#This Row],[Winter Clothes Children ]]&lt;&gt;0,Table10[[#This Row],[Winter Items Other ]]&lt;&gt;0),"No","")</f>
        <v/>
      </c>
      <c r="N133" s="115">
        <f>COUNTIF(A:A,Table10[[#This Row],[Pcode]])-1</f>
        <v>0</v>
      </c>
    </row>
    <row r="134" spans="1:14" x14ac:dyDescent="0.3">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Distributions'!AU$53:AU$1048576,Table10[[#This Row],[Pcode]],'NFI Distributions'!AM$53:AM$1048576)</f>
        <v>0</v>
      </c>
      <c r="H134" s="106">
        <f>SUMIF('NFI Distributions'!AU$53:AU$1048576,Table10[[#This Row],[Pcode]],'NFI Distributions'!AN$53:AN$1048576)</f>
        <v>0</v>
      </c>
      <c r="I134" s="106">
        <f>SUMIF('NFI Distributions'!AU$53:AU$1048576,Table10[[#This Row],[Pcode]],'NFI Distributions'!AO$53:AO$1048576)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3">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67</v>
      </c>
      <c r="F135" s="106">
        <f ca="1">OFFSET(CampList[Total],MATCH(Table10[[#This Row],[Pcode]],CampList[CP_Pcode],0)-1,0,1,1)</f>
        <v>296</v>
      </c>
      <c r="G135" s="106">
        <f>SUMIF('NFI Distributions'!AU$53:AU$1048576,Table10[[#This Row],[Pcode]],'NFI Distributions'!AM$53:AM$1048576)</f>
        <v>0</v>
      </c>
      <c r="H135" s="106">
        <f>SUMIF('NFI Distributions'!AU$53:AU$1048576,Table10[[#This Row],[Pcode]],'NFI Distributions'!AN$53:AN$1048576)</f>
        <v>0</v>
      </c>
      <c r="I135" s="106">
        <f>SUMIF('NFI Distributions'!AU$53:AU$1048576,Table10[[#This Row],[Pcode]],'NFI Distributions'!AO$53:AO$1048576)</f>
        <v>0</v>
      </c>
      <c r="J135" s="106">
        <f ca="1">MAX(Table10[[#This Row],[HH]]*VLOOKUP("Winter Clothes Adult",NFI,6)-Table10[[#This Row],[Winter Clothes Adult ]],0)</f>
        <v>134</v>
      </c>
      <c r="K135" s="106">
        <f ca="1">MAX(Table10[[#This Row],[HH]]*VLOOKUP("Winter Clothes Children ",NFI,6)-Table10[[#This Row],[Winter Clothes Children ]],0)</f>
        <v>67</v>
      </c>
      <c r="L135" s="106">
        <f ca="1">MAX(Table10[[#This Row],[HH]]*VLOOKUP("Winter Items Other ",NFI,6)-Table10[[#This Row],[Winter Items Other ]],0)</f>
        <v>67</v>
      </c>
      <c r="M135" s="114" t="str">
        <f>IF(OR(Table10[[#This Row],[Winter Clothes Adult ]]&lt;&gt;0,Table10[[#This Row],[Winter Clothes Children ]]&lt;&gt;0,Table10[[#This Row],[Winter Items Other ]]&lt;&gt;0),"No","")</f>
        <v/>
      </c>
      <c r="N135" s="115">
        <f>COUNTIF(A:A,Table10[[#This Row],[Pcode]])-1</f>
        <v>0</v>
      </c>
    </row>
    <row r="136" spans="1:14" x14ac:dyDescent="0.3">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75</v>
      </c>
      <c r="F136" s="106">
        <f ca="1">OFFSET(CampList[Total],MATCH(Table10[[#This Row],[Pcode]],CampList[CP_Pcode],0)-1,0,1,1)</f>
        <v>414</v>
      </c>
      <c r="G136" s="106">
        <f>SUMIF('NFI Distributions'!AU$53:AU$1048576,Table10[[#This Row],[Pcode]],'NFI Distributions'!AM$53:AM$1048576)</f>
        <v>0</v>
      </c>
      <c r="H136" s="106">
        <f>SUMIF('NFI Distributions'!AU$53:AU$1048576,Table10[[#This Row],[Pcode]],'NFI Distributions'!AN$53:AN$1048576)</f>
        <v>0</v>
      </c>
      <c r="I136" s="106">
        <f>SUMIF('NFI Distributions'!AU$53:AU$1048576,Table10[[#This Row],[Pcode]],'NFI Distributions'!AO$53:AO$1048576)</f>
        <v>0</v>
      </c>
      <c r="J136" s="106">
        <f ca="1">MAX(Table10[[#This Row],[HH]]*VLOOKUP("Winter Clothes Adult",NFI,6)-Table10[[#This Row],[Winter Clothes Adult ]],0)</f>
        <v>150</v>
      </c>
      <c r="K136" s="106">
        <f ca="1">MAX(Table10[[#This Row],[HH]]*VLOOKUP("Winter Clothes Children ",NFI,6)-Table10[[#This Row],[Winter Clothes Children ]],0)</f>
        <v>75</v>
      </c>
      <c r="L136" s="106">
        <f ca="1">MAX(Table10[[#This Row],[HH]]*VLOOKUP("Winter Items Other ",NFI,6)-Table10[[#This Row],[Winter Items Other ]],0)</f>
        <v>75</v>
      </c>
      <c r="M136" s="114" t="str">
        <f>IF(OR(Table10[[#This Row],[Winter Clothes Adult ]]&lt;&gt;0,Table10[[#This Row],[Winter Clothes Children ]]&lt;&gt;0,Table10[[#This Row],[Winter Items Other ]]&lt;&gt;0),"No","")</f>
        <v/>
      </c>
      <c r="N136" s="115">
        <f>COUNTIF(A:A,Table10[[#This Row],[Pcode]])-1</f>
        <v>0</v>
      </c>
    </row>
    <row r="137" spans="1:14" x14ac:dyDescent="0.3">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771</v>
      </c>
      <c r="G137" s="106">
        <f>SUMIF('NFI Distributions'!AU$53:AU$1048576,Table10[[#This Row],[Pcode]],'NFI Distributions'!AM$53:AM$1048576)</f>
        <v>0</v>
      </c>
      <c r="H137" s="106">
        <f>SUMIF('NFI Distributions'!AU$53:AU$1048576,Table10[[#This Row],[Pcode]],'NFI Distributions'!AN$53:AN$1048576)</f>
        <v>0</v>
      </c>
      <c r="I137" s="106">
        <f>SUMIF('NFI Distributions'!AU$53:AU$1048576,Table10[[#This Row],[Pcode]],'NFI Distributions'!AO$53:AO$1048576)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3">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Distributions'!AU$53:AU$1048576,Table10[[#This Row],[Pcode]],'NFI Distributions'!AM$53:AM$1048576)</f>
        <v>0</v>
      </c>
      <c r="H138" s="106">
        <f>SUMIF('NFI Distributions'!AU$53:AU$1048576,Table10[[#This Row],[Pcode]],'NFI Distributions'!AN$53:AN$1048576)</f>
        <v>0</v>
      </c>
      <c r="I138" s="106">
        <f>SUMIF('NFI Distributions'!AU$53:AU$1048576,Table10[[#This Row],[Pcode]],'NFI Distributions'!AO$53:AO$1048576)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3">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119</v>
      </c>
      <c r="F139" s="106">
        <f ca="1">OFFSET(CampList[Total],MATCH(Table10[[#This Row],[Pcode]],CampList[CP_Pcode],0)-1,0,1,1)</f>
        <v>483</v>
      </c>
      <c r="G139" s="106">
        <f>SUMIF('NFI Distributions'!AU$53:AU$1048576,Table10[[#This Row],[Pcode]],'NFI Distributions'!AM$53:AM$1048576)</f>
        <v>0</v>
      </c>
      <c r="H139" s="106">
        <f>SUMIF('NFI Distributions'!AU$53:AU$1048576,Table10[[#This Row],[Pcode]],'NFI Distributions'!AN$53:AN$1048576)</f>
        <v>0</v>
      </c>
      <c r="I139" s="106">
        <f>SUMIF('NFI Distributions'!AU$53:AU$1048576,Table10[[#This Row],[Pcode]],'NFI Distributions'!AO$53:AO$1048576)</f>
        <v>0</v>
      </c>
      <c r="J139" s="106">
        <f ca="1">MAX(Table10[[#This Row],[HH]]*VLOOKUP("Winter Clothes Adult",NFI,6)-Table10[[#This Row],[Winter Clothes Adult ]],0)</f>
        <v>238</v>
      </c>
      <c r="K139" s="106">
        <f ca="1">MAX(Table10[[#This Row],[HH]]*VLOOKUP("Winter Clothes Children ",NFI,6)-Table10[[#This Row],[Winter Clothes Children ]],0)</f>
        <v>119</v>
      </c>
      <c r="L139" s="106">
        <f ca="1">MAX(Table10[[#This Row],[HH]]*VLOOKUP("Winter Items Other ",NFI,6)-Table10[[#This Row],[Winter Items Other ]],0)</f>
        <v>119</v>
      </c>
      <c r="M139" s="114" t="str">
        <f>IF(OR(Table10[[#This Row],[Winter Clothes Adult ]]&lt;&gt;0,Table10[[#This Row],[Winter Clothes Children ]]&lt;&gt;0,Table10[[#This Row],[Winter Items Other ]]&lt;&gt;0),"No","")</f>
        <v/>
      </c>
      <c r="N139" s="115">
        <f>COUNTIF(A:A,Table10[[#This Row],[Pcode]])-1</f>
        <v>0</v>
      </c>
    </row>
    <row r="140" spans="1:14" x14ac:dyDescent="0.3">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63</v>
      </c>
      <c r="F140" s="106">
        <f ca="1">OFFSET(CampList[Total],MATCH(Table10[[#This Row],[Pcode]],CampList[CP_Pcode],0)-1,0,1,1)</f>
        <v>321</v>
      </c>
      <c r="G140" s="106">
        <f>SUMIF('NFI Distributions'!AU$53:AU$1048576,Table10[[#This Row],[Pcode]],'NFI Distributions'!AM$53:AM$1048576)</f>
        <v>0</v>
      </c>
      <c r="H140" s="106">
        <f>SUMIF('NFI Distributions'!AU$53:AU$1048576,Table10[[#This Row],[Pcode]],'NFI Distributions'!AN$53:AN$1048576)</f>
        <v>0</v>
      </c>
      <c r="I140" s="106">
        <f>SUMIF('NFI Distributions'!AU$53:AU$1048576,Table10[[#This Row],[Pcode]],'NFI Distributions'!AO$53:AO$1048576)</f>
        <v>0</v>
      </c>
      <c r="J140" s="106">
        <f ca="1">MAX(Table10[[#This Row],[HH]]*VLOOKUP("Winter Clothes Adult",NFI,6)-Table10[[#This Row],[Winter Clothes Adult ]],0)</f>
        <v>126</v>
      </c>
      <c r="K140" s="106">
        <f ca="1">MAX(Table10[[#This Row],[HH]]*VLOOKUP("Winter Clothes Children ",NFI,6)-Table10[[#This Row],[Winter Clothes Children ]],0)</f>
        <v>63</v>
      </c>
      <c r="L140" s="106">
        <f ca="1">MAX(Table10[[#This Row],[HH]]*VLOOKUP("Winter Items Other ",NFI,6)-Table10[[#This Row],[Winter Items Other ]],0)</f>
        <v>63</v>
      </c>
      <c r="M140" s="114" t="str">
        <f>IF(OR(Table10[[#This Row],[Winter Clothes Adult ]]&lt;&gt;0,Table10[[#This Row],[Winter Clothes Children ]]&lt;&gt;0,Table10[[#This Row],[Winter Items Other ]]&lt;&gt;0),"No","")</f>
        <v/>
      </c>
      <c r="N140" s="115">
        <f>COUNTIF(A:A,Table10[[#This Row],[Pcode]])-1</f>
        <v>0</v>
      </c>
    </row>
    <row r="141" spans="1:14" x14ac:dyDescent="0.3">
      <c r="A141" s="102"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6">
        <f ca="1">OFFSET(CampList[HH],MATCH(Table10[[#This Row],[Pcode]],CampList[CP_Pcode],0)-1,0,1,1)</f>
        <v>29</v>
      </c>
      <c r="F141" s="106">
        <f ca="1">OFFSET(CampList[Total],MATCH(Table10[[#This Row],[Pcode]],CampList[CP_Pcode],0)-1,0,1,1)</f>
        <v>160</v>
      </c>
      <c r="G141" s="106">
        <f>SUMIF('NFI Distributions'!AU$53:AU$1048576,Table10[[#This Row],[Pcode]],'NFI Distributions'!AM$53:AM$1048576)</f>
        <v>0</v>
      </c>
      <c r="H141" s="106">
        <f>SUMIF('NFI Distributions'!AU$53:AU$1048576,Table10[[#This Row],[Pcode]],'NFI Distributions'!AN$53:AN$1048576)</f>
        <v>0</v>
      </c>
      <c r="I141" s="106">
        <f>SUMIF('NFI Distributions'!AU$53:AU$1048576,Table10[[#This Row],[Pcode]],'NFI Distributions'!AO$53:AO$1048576)</f>
        <v>0</v>
      </c>
      <c r="J141" s="106">
        <f ca="1">MAX(Table10[[#This Row],[HH]]*VLOOKUP("Winter Clothes Adult",NFI,6)-Table10[[#This Row],[Winter Clothes Adult ]],0)</f>
        <v>58</v>
      </c>
      <c r="K141" s="106">
        <f ca="1">MAX(Table10[[#This Row],[HH]]*VLOOKUP("Winter Clothes Children ",NFI,6)-Table10[[#This Row],[Winter Clothes Children ]],0)</f>
        <v>29</v>
      </c>
      <c r="L141" s="106">
        <f ca="1">MAX(Table10[[#This Row],[HH]]*VLOOKUP("Winter Items Other ",NFI,6)-Table10[[#This Row],[Winter Items Other ]],0)</f>
        <v>29</v>
      </c>
      <c r="M141" s="114" t="str">
        <f>IF(OR(Table10[[#This Row],[Winter Clothes Adult ]]&lt;&gt;0,Table10[[#This Row],[Winter Clothes Children ]]&lt;&gt;0,Table10[[#This Row],[Winter Items Other ]]&lt;&gt;0),"No","")</f>
        <v/>
      </c>
      <c r="N141" s="115">
        <f>COUNTIF(A:A,Table10[[#This Row],[Pcode]])-1</f>
        <v>0</v>
      </c>
    </row>
    <row r="142" spans="1:14" x14ac:dyDescent="0.3">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499</v>
      </c>
      <c r="G142" s="106">
        <f>SUMIF('NFI Distributions'!AU$53:AU$1048576,Table10[[#This Row],[Pcode]],'NFI Distributions'!AM$53:AM$1048576)</f>
        <v>0</v>
      </c>
      <c r="H142" s="106">
        <f>SUMIF('NFI Distributions'!AU$53:AU$1048576,Table10[[#This Row],[Pcode]],'NFI Distributions'!AN$53:AN$1048576)</f>
        <v>0</v>
      </c>
      <c r="I142" s="106">
        <f>SUMIF('NFI Distributions'!AU$53:AU$1048576,Table10[[#This Row],[Pcode]],'NFI Distributions'!AO$53:AO$1048576)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3">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39</v>
      </c>
      <c r="G143" s="106">
        <f>SUMIF('NFI Distributions'!AU$53:AU$1048576,Table10[[#This Row],[Pcode]],'NFI Distributions'!AM$53:AM$1048576)</f>
        <v>0</v>
      </c>
      <c r="H143" s="106">
        <f>SUMIF('NFI Distributions'!AU$53:AU$1048576,Table10[[#This Row],[Pcode]],'NFI Distributions'!AN$53:AN$1048576)</f>
        <v>0</v>
      </c>
      <c r="I143" s="106">
        <f>SUMIF('NFI Distributions'!AU$53:AU$1048576,Table10[[#This Row],[Pcode]],'NFI Distributions'!AO$53:AO$1048576)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3">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4010</v>
      </c>
      <c r="G144" s="106">
        <f>SUMIF('NFI Distributions'!AU$53:AU$1048576,Table10[[#This Row],[Pcode]],'NFI Distributions'!AM$53:AM$1048576)</f>
        <v>0</v>
      </c>
      <c r="H144" s="106">
        <f>SUMIF('NFI Distributions'!AU$53:AU$1048576,Table10[[#This Row],[Pcode]],'NFI Distributions'!AN$53:AN$1048576)</f>
        <v>0</v>
      </c>
      <c r="I144" s="106">
        <f>SUMIF('NFI Distributions'!AU$53:AU$1048576,Table10[[#This Row],[Pcode]],'NFI Distributions'!AO$53:AO$1048576)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3">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Distributions'!AU$53:AU$1048576,Table10[[#This Row],[Pcode]],'NFI Distributions'!AM$53:AM$1048576)</f>
        <v>0</v>
      </c>
      <c r="H145" s="106">
        <f>SUMIF('NFI Distributions'!AU$53:AU$1048576,Table10[[#This Row],[Pcode]],'NFI Distributions'!AN$53:AN$1048576)</f>
        <v>0</v>
      </c>
      <c r="I145" s="106">
        <f>SUMIF('NFI Distributions'!AU$53:AU$1048576,Table10[[#This Row],[Pcode]],'NFI Distributions'!AO$53:AO$1048576)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3">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118</v>
      </c>
      <c r="F146" s="106">
        <f ca="1">OFFSET(CampList[Total],MATCH(Table10[[#This Row],[Pcode]],CampList[CP_Pcode],0)-1,0,1,1)</f>
        <v>569</v>
      </c>
      <c r="G146" s="106">
        <f>SUMIF('NFI Distributions'!AU$53:AU$1048576,Table10[[#This Row],[Pcode]],'NFI Distributions'!AM$53:AM$1048576)</f>
        <v>0</v>
      </c>
      <c r="H146" s="106">
        <f>SUMIF('NFI Distributions'!AU$53:AU$1048576,Table10[[#This Row],[Pcode]],'NFI Distributions'!AN$53:AN$1048576)</f>
        <v>0</v>
      </c>
      <c r="I146" s="106">
        <f>SUMIF('NFI Distributions'!AU$53:AU$1048576,Table10[[#This Row],[Pcode]],'NFI Distributions'!AO$53:AO$1048576)</f>
        <v>0</v>
      </c>
      <c r="J146" s="106">
        <f ca="1">MAX(Table10[[#This Row],[HH]]*VLOOKUP("Winter Clothes Adult",NFI,6)-Table10[[#This Row],[Winter Clothes Adult ]],0)</f>
        <v>236</v>
      </c>
      <c r="K146" s="106">
        <f ca="1">MAX(Table10[[#This Row],[HH]]*VLOOKUP("Winter Clothes Children ",NFI,6)-Table10[[#This Row],[Winter Clothes Children ]],0)</f>
        <v>118</v>
      </c>
      <c r="L146" s="106">
        <f ca="1">MAX(Table10[[#This Row],[HH]]*VLOOKUP("Winter Items Other ",NFI,6)-Table10[[#This Row],[Winter Items Other ]],0)</f>
        <v>118</v>
      </c>
      <c r="M146" s="114" t="str">
        <f>IF(OR(Table10[[#This Row],[Winter Clothes Adult ]]&lt;&gt;0,Table10[[#This Row],[Winter Clothes Children ]]&lt;&gt;0,Table10[[#This Row],[Winter Items Other ]]&lt;&gt;0),"No","")</f>
        <v/>
      </c>
      <c r="N146" s="115">
        <f>COUNTIF(A:A,Table10[[#This Row],[Pcode]])-1</f>
        <v>0</v>
      </c>
    </row>
    <row r="147" spans="1:14" x14ac:dyDescent="0.3">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23</v>
      </c>
      <c r="F147" s="106">
        <f ca="1">OFFSET(CampList[Total],MATCH(Table10[[#This Row],[Pcode]],CampList[CP_Pcode],0)-1,0,1,1)</f>
        <v>114</v>
      </c>
      <c r="G147" s="106">
        <f>SUMIF('NFI Distributions'!AU$53:AU$1048576,Table10[[#This Row],[Pcode]],'NFI Distributions'!AM$53:AM$1048576)</f>
        <v>0</v>
      </c>
      <c r="H147" s="106">
        <f>SUMIF('NFI Distributions'!AU$53:AU$1048576,Table10[[#This Row],[Pcode]],'NFI Distributions'!AN$53:AN$1048576)</f>
        <v>0</v>
      </c>
      <c r="I147" s="106">
        <f>SUMIF('NFI Distributions'!AU$53:AU$1048576,Table10[[#This Row],[Pcode]],'NFI Distributions'!AO$53:AO$1048576)</f>
        <v>0</v>
      </c>
      <c r="J147" s="106">
        <f ca="1">MAX(Table10[[#This Row],[HH]]*VLOOKUP("Winter Clothes Adult",NFI,6)-Table10[[#This Row],[Winter Clothes Adult ]],0)</f>
        <v>46</v>
      </c>
      <c r="K147" s="106">
        <f ca="1">MAX(Table10[[#This Row],[HH]]*VLOOKUP("Winter Clothes Children ",NFI,6)-Table10[[#This Row],[Winter Clothes Children ]],0)</f>
        <v>23</v>
      </c>
      <c r="L147" s="106">
        <f ca="1">MAX(Table10[[#This Row],[HH]]*VLOOKUP("Winter Items Other ",NFI,6)-Table10[[#This Row],[Winter Items Other ]],0)</f>
        <v>23</v>
      </c>
      <c r="M147" s="114" t="str">
        <f>IF(OR(Table10[[#This Row],[Winter Clothes Adult ]]&lt;&gt;0,Table10[[#This Row],[Winter Clothes Children ]]&lt;&gt;0,Table10[[#This Row],[Winter Items Other ]]&lt;&gt;0),"No","")</f>
        <v/>
      </c>
      <c r="N147" s="115">
        <f>COUNTIF(A:A,Table10[[#This Row],[Pcode]])-1</f>
        <v>0</v>
      </c>
    </row>
    <row r="148" spans="1:14" x14ac:dyDescent="0.3">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88</v>
      </c>
      <c r="F148" s="106">
        <f ca="1">OFFSET(CampList[Total],MATCH(Table10[[#This Row],[Pcode]],CampList[CP_Pcode],0)-1,0,1,1)</f>
        <v>330</v>
      </c>
      <c r="G148" s="106">
        <f>SUMIF('NFI Distributions'!AU$53:AU$1048576,Table10[[#This Row],[Pcode]],'NFI Distributions'!AM$53:AM$1048576)</f>
        <v>0</v>
      </c>
      <c r="H148" s="106">
        <f>SUMIF('NFI Distributions'!AU$53:AU$1048576,Table10[[#This Row],[Pcode]],'NFI Distributions'!AN$53:AN$1048576)</f>
        <v>0</v>
      </c>
      <c r="I148" s="106">
        <f>SUMIF('NFI Distributions'!AU$53:AU$1048576,Table10[[#This Row],[Pcode]],'NFI Distributions'!AO$53:AO$1048576)</f>
        <v>0</v>
      </c>
      <c r="J148" s="106">
        <f ca="1">MAX(Table10[[#This Row],[HH]]*VLOOKUP("Winter Clothes Adult",NFI,6)-Table10[[#This Row],[Winter Clothes Adult ]],0)</f>
        <v>176</v>
      </c>
      <c r="K148" s="106">
        <f ca="1">MAX(Table10[[#This Row],[HH]]*VLOOKUP("Winter Clothes Children ",NFI,6)-Table10[[#This Row],[Winter Clothes Children ]],0)</f>
        <v>88</v>
      </c>
      <c r="L148" s="106">
        <f ca="1">MAX(Table10[[#This Row],[HH]]*VLOOKUP("Winter Items Other ",NFI,6)-Table10[[#This Row],[Winter Items Other ]],0)</f>
        <v>88</v>
      </c>
      <c r="M148" s="114" t="str">
        <f>IF(OR(Table10[[#This Row],[Winter Clothes Adult ]]&lt;&gt;0,Table10[[#This Row],[Winter Clothes Children ]]&lt;&gt;0,Table10[[#This Row],[Winter Items Other ]]&lt;&gt;0),"No","")</f>
        <v/>
      </c>
      <c r="N148" s="115">
        <f>COUNTIF(A:A,Table10[[#This Row],[Pcode]])-1</f>
        <v>0</v>
      </c>
    </row>
    <row r="149" spans="1:14" x14ac:dyDescent="0.3">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46</v>
      </c>
      <c r="F149" s="106">
        <f ca="1">OFFSET(CampList[Total],MATCH(Table10[[#This Row],[Pcode]],CampList[CP_Pcode],0)-1,0,1,1)</f>
        <v>199</v>
      </c>
      <c r="G149" s="106">
        <f>SUMIF('NFI Distributions'!AU$53:AU$1048576,Table10[[#This Row],[Pcode]],'NFI Distributions'!AM$53:AM$1048576)</f>
        <v>0</v>
      </c>
      <c r="H149" s="106">
        <f>SUMIF('NFI Distributions'!AU$53:AU$1048576,Table10[[#This Row],[Pcode]],'NFI Distributions'!AN$53:AN$1048576)</f>
        <v>0</v>
      </c>
      <c r="I149" s="106">
        <f>SUMIF('NFI Distributions'!AU$53:AU$1048576,Table10[[#This Row],[Pcode]],'NFI Distributions'!AO$53:AO$1048576)</f>
        <v>0</v>
      </c>
      <c r="J149" s="106">
        <f ca="1">MAX(Table10[[#This Row],[HH]]*VLOOKUP("Winter Clothes Adult",NFI,6)-Table10[[#This Row],[Winter Clothes Adult ]],0)</f>
        <v>92</v>
      </c>
      <c r="K149" s="106">
        <f ca="1">MAX(Table10[[#This Row],[HH]]*VLOOKUP("Winter Clothes Children ",NFI,6)-Table10[[#This Row],[Winter Clothes Children ]],0)</f>
        <v>46</v>
      </c>
      <c r="L149" s="106">
        <f ca="1">MAX(Table10[[#This Row],[HH]]*VLOOKUP("Winter Items Other ",NFI,6)-Table10[[#This Row],[Winter Items Other ]],0)</f>
        <v>46</v>
      </c>
      <c r="M149" s="114" t="str">
        <f>IF(OR(Table10[[#This Row],[Winter Clothes Adult ]]&lt;&gt;0,Table10[[#This Row],[Winter Clothes Children ]]&lt;&gt;0,Table10[[#This Row],[Winter Items Other ]]&lt;&gt;0),"No","")</f>
        <v/>
      </c>
      <c r="N149" s="115">
        <f>COUNTIF(A:A,Table10[[#This Row],[Pcode]])-1</f>
        <v>0</v>
      </c>
    </row>
    <row r="150" spans="1:14" x14ac:dyDescent="0.3">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91</v>
      </c>
      <c r="F150" s="106">
        <f ca="1">OFFSET(CampList[Total],MATCH(Table10[[#This Row],[Pcode]],CampList[CP_Pcode],0)-1,0,1,1)</f>
        <v>511</v>
      </c>
      <c r="G150" s="106">
        <f>SUMIF('NFI Distributions'!AU$53:AU$1048576,Table10[[#This Row],[Pcode]],'NFI Distributions'!AM$53:AM$1048576)</f>
        <v>0</v>
      </c>
      <c r="H150" s="106">
        <f>SUMIF('NFI Distributions'!AU$53:AU$1048576,Table10[[#This Row],[Pcode]],'NFI Distributions'!AN$53:AN$1048576)</f>
        <v>0</v>
      </c>
      <c r="I150" s="106">
        <f>SUMIF('NFI Distributions'!AU$53:AU$1048576,Table10[[#This Row],[Pcode]],'NFI Distributions'!AO$53:AO$1048576)</f>
        <v>0</v>
      </c>
      <c r="J150" s="106">
        <f ca="1">MAX(Table10[[#This Row],[HH]]*VLOOKUP("Winter Clothes Adult",NFI,6)-Table10[[#This Row],[Winter Clothes Adult ]],0)</f>
        <v>182</v>
      </c>
      <c r="K150" s="106">
        <f ca="1">MAX(Table10[[#This Row],[HH]]*VLOOKUP("Winter Clothes Children ",NFI,6)-Table10[[#This Row],[Winter Clothes Children ]],0)</f>
        <v>91</v>
      </c>
      <c r="L150" s="106">
        <f ca="1">MAX(Table10[[#This Row],[HH]]*VLOOKUP("Winter Items Other ",NFI,6)-Table10[[#This Row],[Winter Items Other ]],0)</f>
        <v>91</v>
      </c>
      <c r="M150" s="114" t="str">
        <f>IF(OR(Table10[[#This Row],[Winter Clothes Adult ]]&lt;&gt;0,Table10[[#This Row],[Winter Clothes Children ]]&lt;&gt;0,Table10[[#This Row],[Winter Items Other ]]&lt;&gt;0),"No","")</f>
        <v/>
      </c>
      <c r="N150" s="115">
        <f>COUNTIF(A:A,Table10[[#This Row],[Pcode]])-1</f>
        <v>0</v>
      </c>
    </row>
    <row r="151" spans="1:14" x14ac:dyDescent="0.3">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55</v>
      </c>
      <c r="G151" s="106">
        <f>SUMIF('NFI Distributions'!AU$53:AU$1048576,Table10[[#This Row],[Pcode]],'NFI Distributions'!AM$53:AM$1048576)</f>
        <v>0</v>
      </c>
      <c r="H151" s="106">
        <f>SUMIF('NFI Distributions'!AU$53:AU$1048576,Table10[[#This Row],[Pcode]],'NFI Distributions'!AN$53:AN$1048576)</f>
        <v>0</v>
      </c>
      <c r="I151" s="106">
        <f>SUMIF('NFI Distributions'!AU$53:AU$1048576,Table10[[#This Row],[Pcode]],'NFI Distributions'!AO$53:AO$1048576)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3">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Distributions'!AU$53:AU$1048576,Table10[[#This Row],[Pcode]],'NFI Distributions'!AM$53:AM$1048576)</f>
        <v>0</v>
      </c>
      <c r="H152" s="106">
        <f>SUMIF('NFI Distributions'!AU$53:AU$1048576,Table10[[#This Row],[Pcode]],'NFI Distributions'!AN$53:AN$1048576)</f>
        <v>0</v>
      </c>
      <c r="I152" s="106">
        <f>SUMIF('NFI Distributions'!AU$53:AU$1048576,Table10[[#This Row],[Pcode]],'NFI Distributions'!AO$53:AO$1048576)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3">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Distributions'!AU$53:AU$1048576,Table10[[#This Row],[Pcode]],'NFI Distributions'!AM$53:AM$1048576)</f>
        <v>0</v>
      </c>
      <c r="H153" s="106">
        <f>SUMIF('NFI Distributions'!AU$53:AU$1048576,Table10[[#This Row],[Pcode]],'NFI Distributions'!AN$53:AN$1048576)</f>
        <v>0</v>
      </c>
      <c r="I153" s="106">
        <f>SUMIF('NFI Distributions'!AU$53:AU$1048576,Table10[[#This Row],[Pcode]],'NFI Distributions'!AO$53:AO$1048576)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3">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Distributions'!AU$53:AU$1048576,Table10[[#This Row],[Pcode]],'NFI Distributions'!AM$53:AM$1048576)</f>
        <v>0</v>
      </c>
      <c r="H154" s="106">
        <f>SUMIF('NFI Distributions'!AU$53:AU$1048576,Table10[[#This Row],[Pcode]],'NFI Distributions'!AN$53:AN$1048576)</f>
        <v>0</v>
      </c>
      <c r="I154" s="106">
        <f>SUMIF('NFI Distributions'!AU$53:AU$1048576,Table10[[#This Row],[Pcode]],'NFI Distributions'!AO$53:AO$1048576)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3">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73</v>
      </c>
      <c r="F155" s="106">
        <f ca="1">OFFSET(CampList[Total],MATCH(Table10[[#This Row],[Pcode]],CampList[CP_Pcode],0)-1,0,1,1)</f>
        <v>406</v>
      </c>
      <c r="G155" s="106">
        <f>SUMIF('NFI Distributions'!AU$53:AU$1048576,Table10[[#This Row],[Pcode]],'NFI Distributions'!AM$53:AM$1048576)</f>
        <v>0</v>
      </c>
      <c r="H155" s="106">
        <f>SUMIF('NFI Distributions'!AU$53:AU$1048576,Table10[[#This Row],[Pcode]],'NFI Distributions'!AN$53:AN$1048576)</f>
        <v>0</v>
      </c>
      <c r="I155" s="106">
        <f>SUMIF('NFI Distributions'!AU$53:AU$1048576,Table10[[#This Row],[Pcode]],'NFI Distributions'!AO$53:AO$1048576)</f>
        <v>0</v>
      </c>
      <c r="J155" s="106">
        <f ca="1">MAX(Table10[[#This Row],[HH]]*VLOOKUP("Winter Clothes Adult",NFI,6)-Table10[[#This Row],[Winter Clothes Adult ]],0)</f>
        <v>146</v>
      </c>
      <c r="K155" s="106">
        <f ca="1">MAX(Table10[[#This Row],[HH]]*VLOOKUP("Winter Clothes Children ",NFI,6)-Table10[[#This Row],[Winter Clothes Children ]],0)</f>
        <v>73</v>
      </c>
      <c r="L155" s="106">
        <f ca="1">MAX(Table10[[#This Row],[HH]]*VLOOKUP("Winter Items Other ",NFI,6)-Table10[[#This Row],[Winter Items Other ]],0)</f>
        <v>73</v>
      </c>
      <c r="M155" s="114" t="str">
        <f>IF(OR(Table10[[#This Row],[Winter Clothes Adult ]]&lt;&gt;0,Table10[[#This Row],[Winter Clothes Children ]]&lt;&gt;0,Table10[[#This Row],[Winter Items Other ]]&lt;&gt;0),"No","")</f>
        <v/>
      </c>
      <c r="N155" s="115">
        <f>COUNTIF(A:A,Table10[[#This Row],[Pcode]])-1</f>
        <v>0</v>
      </c>
    </row>
    <row r="156" spans="1:14" x14ac:dyDescent="0.3">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57</v>
      </c>
      <c r="F156" s="106">
        <f ca="1">OFFSET(CampList[Total],MATCH(Table10[[#This Row],[Pcode]],CampList[CP_Pcode],0)-1,0,1,1)</f>
        <v>281</v>
      </c>
      <c r="G156" s="106">
        <f>SUMIF('NFI Distributions'!AU$53:AU$1048576,Table10[[#This Row],[Pcode]],'NFI Distributions'!AM$53:AM$1048576)</f>
        <v>0</v>
      </c>
      <c r="H156" s="106">
        <f>SUMIF('NFI Distributions'!AU$53:AU$1048576,Table10[[#This Row],[Pcode]],'NFI Distributions'!AN$53:AN$1048576)</f>
        <v>0</v>
      </c>
      <c r="I156" s="106">
        <f>SUMIF('NFI Distributions'!AU$53:AU$1048576,Table10[[#This Row],[Pcode]],'NFI Distributions'!AO$53:AO$1048576)</f>
        <v>0</v>
      </c>
      <c r="J156" s="106">
        <f ca="1">MAX(Table10[[#This Row],[HH]]*VLOOKUP("Winter Clothes Adult",NFI,6)-Table10[[#This Row],[Winter Clothes Adult ]],0)</f>
        <v>114</v>
      </c>
      <c r="K156" s="106">
        <f ca="1">MAX(Table10[[#This Row],[HH]]*VLOOKUP("Winter Clothes Children ",NFI,6)-Table10[[#This Row],[Winter Clothes Children ]],0)</f>
        <v>57</v>
      </c>
      <c r="L156" s="106">
        <f ca="1">MAX(Table10[[#This Row],[HH]]*VLOOKUP("Winter Items Other ",NFI,6)-Table10[[#This Row],[Winter Items Other ]],0)</f>
        <v>57</v>
      </c>
      <c r="M156" s="114" t="str">
        <f>IF(OR(Table10[[#This Row],[Winter Clothes Adult ]]&lt;&gt;0,Table10[[#This Row],[Winter Clothes Children ]]&lt;&gt;0,Table10[[#This Row],[Winter Items Other ]]&lt;&gt;0),"No","")</f>
        <v/>
      </c>
      <c r="N156" s="115">
        <f>COUNTIF(A:A,Table10[[#This Row],[Pcode]])-1</f>
        <v>0</v>
      </c>
    </row>
    <row r="157" spans="1:14" x14ac:dyDescent="0.3">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7</v>
      </c>
      <c r="F157" s="106">
        <f ca="1">OFFSET(CampList[Total],MATCH(Table10[[#This Row],[Pcode]],CampList[CP_Pcode],0)-1,0,1,1)</f>
        <v>31</v>
      </c>
      <c r="G157" s="106">
        <f>SUMIF('NFI Distributions'!AU$53:AU$1048576,Table10[[#This Row],[Pcode]],'NFI Distributions'!AM$53:AM$1048576)</f>
        <v>0</v>
      </c>
      <c r="H157" s="106">
        <f>SUMIF('NFI Distributions'!AU$53:AU$1048576,Table10[[#This Row],[Pcode]],'NFI Distributions'!AN$53:AN$1048576)</f>
        <v>0</v>
      </c>
      <c r="I157" s="106">
        <f>SUMIF('NFI Distributions'!AU$53:AU$1048576,Table10[[#This Row],[Pcode]],'NFI Distributions'!AO$53:AO$1048576)</f>
        <v>0</v>
      </c>
      <c r="J157" s="106">
        <f ca="1">MAX(Table10[[#This Row],[HH]]*VLOOKUP("Winter Clothes Adult",NFI,6)-Table10[[#This Row],[Winter Clothes Adult ]],0)</f>
        <v>14</v>
      </c>
      <c r="K157" s="106">
        <f ca="1">MAX(Table10[[#This Row],[HH]]*VLOOKUP("Winter Clothes Children ",NFI,6)-Table10[[#This Row],[Winter Clothes Children ]],0)</f>
        <v>7</v>
      </c>
      <c r="L157" s="106">
        <f ca="1">MAX(Table10[[#This Row],[HH]]*VLOOKUP("Winter Items Other ",NFI,6)-Table10[[#This Row],[Winter Items Other ]],0)</f>
        <v>7</v>
      </c>
      <c r="M157" s="114" t="str">
        <f>IF(OR(Table10[[#This Row],[Winter Clothes Adult ]]&lt;&gt;0,Table10[[#This Row],[Winter Clothes Children ]]&lt;&gt;0,Table10[[#This Row],[Winter Items Other ]]&lt;&gt;0),"No","")</f>
        <v/>
      </c>
      <c r="N157" s="115">
        <f>COUNTIF(A:A,Table10[[#This Row],[Pcode]])-1</f>
        <v>0</v>
      </c>
    </row>
    <row r="158" spans="1:14" x14ac:dyDescent="0.3">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32</v>
      </c>
      <c r="F158" s="106">
        <f ca="1">OFFSET(CampList[Total],MATCH(Table10[[#This Row],[Pcode]],CampList[CP_Pcode],0)-1,0,1,1)</f>
        <v>174</v>
      </c>
      <c r="G158" s="106">
        <f>SUMIF('NFI Distributions'!AU$53:AU$1048576,Table10[[#This Row],[Pcode]],'NFI Distributions'!AM$53:AM$1048576)</f>
        <v>0</v>
      </c>
      <c r="H158" s="106">
        <f>SUMIF('NFI Distributions'!AU$53:AU$1048576,Table10[[#This Row],[Pcode]],'NFI Distributions'!AN$53:AN$1048576)</f>
        <v>0</v>
      </c>
      <c r="I158" s="106">
        <f>SUMIF('NFI Distributions'!AU$53:AU$1048576,Table10[[#This Row],[Pcode]],'NFI Distributions'!AO$53:AO$1048576)</f>
        <v>0</v>
      </c>
      <c r="J158" s="106">
        <f ca="1">MAX(Table10[[#This Row],[HH]]*VLOOKUP("Winter Clothes Adult",NFI,6)-Table10[[#This Row],[Winter Clothes Adult ]],0)</f>
        <v>64</v>
      </c>
      <c r="K158" s="106">
        <f ca="1">MAX(Table10[[#This Row],[HH]]*VLOOKUP("Winter Clothes Children ",NFI,6)-Table10[[#This Row],[Winter Clothes Children ]],0)</f>
        <v>32</v>
      </c>
      <c r="L158" s="106">
        <f ca="1">MAX(Table10[[#This Row],[HH]]*VLOOKUP("Winter Items Other ",NFI,6)-Table10[[#This Row],[Winter Items Other ]],0)</f>
        <v>32</v>
      </c>
      <c r="M158" s="114" t="str">
        <f>IF(OR(Table10[[#This Row],[Winter Clothes Adult ]]&lt;&gt;0,Table10[[#This Row],[Winter Clothes Children ]]&lt;&gt;0,Table10[[#This Row],[Winter Items Other ]]&lt;&gt;0),"No","")</f>
        <v/>
      </c>
      <c r="N158" s="115">
        <f>COUNTIF(A:A,Table10[[#This Row],[Pcode]])-1</f>
        <v>0</v>
      </c>
    </row>
    <row r="159" spans="1:14" x14ac:dyDescent="0.3">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241</v>
      </c>
      <c r="G159" s="106">
        <f>SUMIF('NFI Distributions'!AU$53:AU$1048576,Table10[[#This Row],[Pcode]],'NFI Distributions'!AM$53:AM$1048576)</f>
        <v>0</v>
      </c>
      <c r="H159" s="106">
        <f>SUMIF('NFI Distributions'!AU$53:AU$1048576,Table10[[#This Row],[Pcode]],'NFI Distributions'!AN$53:AN$1048576)</f>
        <v>0</v>
      </c>
      <c r="I159" s="106">
        <f>SUMIF('NFI Distributions'!AU$53:AU$1048576,Table10[[#This Row],[Pcode]],'NFI Distributions'!AO$53:AO$1048576)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3">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192</v>
      </c>
      <c r="G160" s="106">
        <f>SUMIF('NFI Distributions'!AU$53:AU$1048576,Table10[[#This Row],[Pcode]],'NFI Distributions'!AM$53:AM$1048576)</f>
        <v>0</v>
      </c>
      <c r="H160" s="106">
        <f>SUMIF('NFI Distributions'!AU$53:AU$1048576,Table10[[#This Row],[Pcode]],'NFI Distributions'!AN$53:AN$1048576)</f>
        <v>0</v>
      </c>
      <c r="I160" s="106">
        <f>SUMIF('NFI Distributions'!AU$53:AU$1048576,Table10[[#This Row],[Pcode]],'NFI Distributions'!AO$53:AO$1048576)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3">
      <c r="A161" s="102" t="s">
        <v>874</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Distributions'!AU$53:AU$1048576,Table10[[#This Row],[Pcode]],'NFI Distributions'!AM$53:AM$1048576)</f>
        <v>0</v>
      </c>
      <c r="H161" s="106">
        <f>SUMIF('NFI Distributions'!AU$53:AU$1048576,Table10[[#This Row],[Pcode]],'NFI Distributions'!AN$53:AN$1048576)</f>
        <v>0</v>
      </c>
      <c r="I161" s="106">
        <f>SUMIF('NFI Distributions'!AU$53:AU$1048576,Table10[[#This Row],[Pcode]],'NFI Distributions'!AO$53:AO$1048576)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3">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69</v>
      </c>
      <c r="F162" s="106">
        <f ca="1">OFFSET(CampList[Total],MATCH(Table10[[#This Row],[Pcode]],CampList[CP_Pcode],0)-1,0,1,1)</f>
        <v>290</v>
      </c>
      <c r="G162" s="106">
        <f>SUMIF('NFI Distributions'!AU$53:AU$1048576,Table10[[#This Row],[Pcode]],'NFI Distributions'!AM$53:AM$1048576)</f>
        <v>0</v>
      </c>
      <c r="H162" s="106">
        <f>SUMIF('NFI Distributions'!AU$53:AU$1048576,Table10[[#This Row],[Pcode]],'NFI Distributions'!AN$53:AN$1048576)</f>
        <v>0</v>
      </c>
      <c r="I162" s="106">
        <f>SUMIF('NFI Distributions'!AU$53:AU$1048576,Table10[[#This Row],[Pcode]],'NFI Distributions'!AO$53:AO$1048576)</f>
        <v>0</v>
      </c>
      <c r="J162" s="106">
        <f ca="1">MAX(Table10[[#This Row],[HH]]*VLOOKUP("Winter Clothes Adult",NFI,6)-Table10[[#This Row],[Winter Clothes Adult ]],0)</f>
        <v>138</v>
      </c>
      <c r="K162" s="106">
        <f ca="1">MAX(Table10[[#This Row],[HH]]*VLOOKUP("Winter Clothes Children ",NFI,6)-Table10[[#This Row],[Winter Clothes Children ]],0)</f>
        <v>69</v>
      </c>
      <c r="L162" s="106">
        <f ca="1">MAX(Table10[[#This Row],[HH]]*VLOOKUP("Winter Items Other ",NFI,6)-Table10[[#This Row],[Winter Items Other ]],0)</f>
        <v>69</v>
      </c>
      <c r="M162" s="114" t="str">
        <f>IF(OR(Table10[[#This Row],[Winter Clothes Adult ]]&lt;&gt;0,Table10[[#This Row],[Winter Clothes Children ]]&lt;&gt;0,Table10[[#This Row],[Winter Items Other ]]&lt;&gt;0),"No","")</f>
        <v/>
      </c>
      <c r="N162" s="115">
        <f>COUNTIF(A:A,Table10[[#This Row],[Pcode]])-1</f>
        <v>0</v>
      </c>
    </row>
    <row r="163" spans="1:14" x14ac:dyDescent="0.3">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Distributions'!AU$53:AU$1048576,Table10[[#This Row],[Pcode]],'NFI Distributions'!AM$53:AM$1048576)</f>
        <v>0</v>
      </c>
      <c r="H163" s="106">
        <f>SUMIF('NFI Distributions'!AU$53:AU$1048576,Table10[[#This Row],[Pcode]],'NFI Distributions'!AN$53:AN$1048576)</f>
        <v>0</v>
      </c>
      <c r="I163" s="106">
        <f>SUMIF('NFI Distributions'!AU$53:AU$1048576,Table10[[#This Row],[Pcode]],'NFI Distributions'!AO$53:AO$1048576)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3">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32</v>
      </c>
      <c r="F164" s="106">
        <f ca="1">OFFSET(CampList[Total],MATCH(Table10[[#This Row],[Pcode]],CampList[CP_Pcode],0)-1,0,1,1)</f>
        <v>180</v>
      </c>
      <c r="G164" s="106">
        <f>SUMIF('NFI Distributions'!AU$53:AU$1048576,Table10[[#This Row],[Pcode]],'NFI Distributions'!AM$53:AM$1048576)</f>
        <v>0</v>
      </c>
      <c r="H164" s="106">
        <f>SUMIF('NFI Distributions'!AU$53:AU$1048576,Table10[[#This Row],[Pcode]],'NFI Distributions'!AN$53:AN$1048576)</f>
        <v>0</v>
      </c>
      <c r="I164" s="106">
        <f>SUMIF('NFI Distributions'!AU$53:AU$1048576,Table10[[#This Row],[Pcode]],'NFI Distributions'!AO$53:AO$1048576)</f>
        <v>0</v>
      </c>
      <c r="J164" s="106">
        <f ca="1">MAX(Table10[[#This Row],[HH]]*VLOOKUP("Winter Clothes Adult",NFI,6)-Table10[[#This Row],[Winter Clothes Adult ]],0)</f>
        <v>64</v>
      </c>
      <c r="K164" s="106">
        <f ca="1">MAX(Table10[[#This Row],[HH]]*VLOOKUP("Winter Clothes Children ",NFI,6)-Table10[[#This Row],[Winter Clothes Children ]],0)</f>
        <v>32</v>
      </c>
      <c r="L164" s="106">
        <f ca="1">MAX(Table10[[#This Row],[HH]]*VLOOKUP("Winter Items Other ",NFI,6)-Table10[[#This Row],[Winter Items Other ]],0)</f>
        <v>32</v>
      </c>
      <c r="M164" s="114" t="str">
        <f>IF(OR(Table10[[#This Row],[Winter Clothes Adult ]]&lt;&gt;0,Table10[[#This Row],[Winter Clothes Children ]]&lt;&gt;0,Table10[[#This Row],[Winter Items Other ]]&lt;&gt;0),"No","")</f>
        <v/>
      </c>
      <c r="N164" s="115">
        <f>COUNTIF(A:A,Table10[[#This Row],[Pcode]])-1</f>
        <v>0</v>
      </c>
    </row>
    <row r="165" spans="1:14" x14ac:dyDescent="0.3">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1433</v>
      </c>
      <c r="F165" s="106">
        <f ca="1">OFFSET(CampList[Total],MATCH(Table10[[#This Row],[Pcode]],CampList[CP_Pcode],0)-1,0,1,1)</f>
        <v>7123</v>
      </c>
      <c r="G165" s="106">
        <f>SUMIF('NFI Distributions'!AU$53:AU$1048576,Table10[[#This Row],[Pcode]],'NFI Distributions'!AM$53:AM$1048576)</f>
        <v>0</v>
      </c>
      <c r="H165" s="106">
        <f>SUMIF('NFI Distributions'!AU$53:AU$1048576,Table10[[#This Row],[Pcode]],'NFI Distributions'!AN$53:AN$1048576)</f>
        <v>0</v>
      </c>
      <c r="I165" s="106">
        <f>SUMIF('NFI Distributions'!AU$53:AU$1048576,Table10[[#This Row],[Pcode]],'NFI Distributions'!AO$53:AO$1048576)</f>
        <v>0</v>
      </c>
      <c r="J165" s="106">
        <f ca="1">MAX(Table10[[#This Row],[HH]]*VLOOKUP("Winter Clothes Adult",NFI,6)-Table10[[#This Row],[Winter Clothes Adult ]],0)</f>
        <v>2866</v>
      </c>
      <c r="K165" s="106">
        <f ca="1">MAX(Table10[[#This Row],[HH]]*VLOOKUP("Winter Clothes Children ",NFI,6)-Table10[[#This Row],[Winter Clothes Children ]],0)</f>
        <v>1433</v>
      </c>
      <c r="L165" s="106">
        <f ca="1">MAX(Table10[[#This Row],[HH]]*VLOOKUP("Winter Items Other ",NFI,6)-Table10[[#This Row],[Winter Items Other ]],0)</f>
        <v>1433</v>
      </c>
      <c r="M165" s="114" t="str">
        <f>IF(OR(Table10[[#This Row],[Winter Clothes Adult ]]&lt;&gt;0,Table10[[#This Row],[Winter Clothes Children ]]&lt;&gt;0,Table10[[#This Row],[Winter Items Other ]]&lt;&gt;0),"No","")</f>
        <v/>
      </c>
      <c r="N165" s="115">
        <f>COUNTIF(A:A,Table10[[#This Row],[Pcode]])-1</f>
        <v>0</v>
      </c>
    </row>
    <row r="166" spans="1:14" x14ac:dyDescent="0.3">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Distributions'!AU$53:AU$1048576,Table10[[#This Row],[Pcode]],'NFI Distributions'!AM$53:AM$1048576)</f>
        <v>0</v>
      </c>
      <c r="H166" s="106">
        <f>SUMIF('NFI Distributions'!AU$53:AU$1048576,Table10[[#This Row],[Pcode]],'NFI Distributions'!AN$53:AN$1048576)</f>
        <v>0</v>
      </c>
      <c r="I166" s="106">
        <f>SUMIF('NFI Distributions'!AU$53:AU$1048576,Table10[[#This Row],[Pcode]],'NFI Distributions'!AO$53:AO$1048576)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3">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14</v>
      </c>
      <c r="F167" s="106">
        <f ca="1">OFFSET(CampList[Total],MATCH(Table10[[#This Row],[Pcode]],CampList[CP_Pcode],0)-1,0,1,1)</f>
        <v>77</v>
      </c>
      <c r="G167" s="106">
        <f>SUMIF('NFI Distributions'!AU$53:AU$1048576,Table10[[#This Row],[Pcode]],'NFI Distributions'!AM$53:AM$1048576)</f>
        <v>0</v>
      </c>
      <c r="H167" s="106">
        <f>SUMIF('NFI Distributions'!AU$53:AU$1048576,Table10[[#This Row],[Pcode]],'NFI Distributions'!AN$53:AN$1048576)</f>
        <v>0</v>
      </c>
      <c r="I167" s="106">
        <f>SUMIF('NFI Distributions'!AU$53:AU$1048576,Table10[[#This Row],[Pcode]],'NFI Distributions'!AO$53:AO$1048576)</f>
        <v>0</v>
      </c>
      <c r="J167" s="106">
        <f ca="1">MAX(Table10[[#This Row],[HH]]*VLOOKUP("Winter Clothes Adult",NFI,6)-Table10[[#This Row],[Winter Clothes Adult ]],0)</f>
        <v>28</v>
      </c>
      <c r="K167" s="106">
        <f ca="1">MAX(Table10[[#This Row],[HH]]*VLOOKUP("Winter Clothes Children ",NFI,6)-Table10[[#This Row],[Winter Clothes Children ]],0)</f>
        <v>14</v>
      </c>
      <c r="L167" s="106">
        <f ca="1">MAX(Table10[[#This Row],[HH]]*VLOOKUP("Winter Items Other ",NFI,6)-Table10[[#This Row],[Winter Items Other ]],0)</f>
        <v>14</v>
      </c>
      <c r="M167" s="114" t="str">
        <f>IF(OR(Table10[[#This Row],[Winter Clothes Adult ]]&lt;&gt;0,Table10[[#This Row],[Winter Clothes Children ]]&lt;&gt;0,Table10[[#This Row],[Winter Items Other ]]&lt;&gt;0),"No","")</f>
        <v/>
      </c>
      <c r="N167" s="115">
        <f>COUNTIF(A:A,Table10[[#This Row],[Pcode]])-1</f>
        <v>0</v>
      </c>
    </row>
    <row r="168" spans="1:14" x14ac:dyDescent="0.3">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66</v>
      </c>
      <c r="G168" s="116">
        <f>SUMIF('NFI Distributions'!AU$53:AU$1048576,Table10[[#This Row],[Pcode]],'NFI Distributions'!AM$53:AM$1048576)</f>
        <v>0</v>
      </c>
      <c r="H168" s="116">
        <f>SUMIF('NFI Distributions'!AU$53:AU$1048576,Table10[[#This Row],[Pcode]],'NFI Distributions'!AN$53:AN$1048576)</f>
        <v>0</v>
      </c>
      <c r="I168" s="116">
        <f>SUMIF('NFI Distributions'!AU$53:AU$1048576,Table10[[#This Row],[Pcode]],'NFI Distributions'!AO$53:AO$1048576)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WD2808"/>
  <sheetViews>
    <sheetView showGridLines="0" showZeros="0" tabSelected="1" zoomScale="112" zoomScaleNormal="112" zoomScaleSheetLayoutView="80" workbookViewId="0">
      <selection activeCell="G40" sqref="G40"/>
    </sheetView>
  </sheetViews>
  <sheetFormatPr defaultColWidth="11.44140625" defaultRowHeight="14.4" x14ac:dyDescent="0.3"/>
  <cols>
    <col min="1" max="1" width="2.44140625" style="38" customWidth="1"/>
    <col min="2" max="2" width="1.5546875" style="38" customWidth="1"/>
    <col min="3" max="3" width="12.88671875" style="8" customWidth="1"/>
    <col min="4" max="4" width="9.33203125" style="8" customWidth="1"/>
    <col min="5" max="5" width="8" style="8" customWidth="1"/>
    <col min="6" max="6" width="11.109375" style="8" customWidth="1"/>
    <col min="7" max="7" width="13.33203125" style="8" customWidth="1"/>
    <col min="8" max="8" width="10.77734375" style="8" customWidth="1"/>
    <col min="9" max="9" width="0.88671875" style="8" customWidth="1"/>
    <col min="10" max="10" width="6" style="8" customWidth="1"/>
    <col min="11" max="11" width="2" style="38" customWidth="1"/>
    <col min="12" max="12" width="14.88671875" style="8" customWidth="1"/>
    <col min="13" max="13" width="7.44140625" style="8" customWidth="1"/>
    <col min="14" max="14" width="9.88671875" style="8" customWidth="1"/>
    <col min="15" max="16" width="9.109375" style="8" customWidth="1"/>
    <col min="17" max="17" width="5.6640625" style="9" customWidth="1"/>
    <col min="18" max="19" width="5.6640625" style="38" customWidth="1"/>
    <col min="20" max="20" width="1.33203125" style="38" customWidth="1"/>
    <col min="21" max="21" width="5" style="38" customWidth="1"/>
    <col min="22" max="22" width="7.6640625" style="38" hidden="1" customWidth="1"/>
    <col min="23" max="23" width="7.5546875" style="38" hidden="1" customWidth="1"/>
    <col min="24" max="24" width="4.33203125" style="38" hidden="1" customWidth="1"/>
    <col min="25" max="25" width="7.109375" style="38" hidden="1" customWidth="1"/>
    <col min="26" max="27" width="10.109375" style="38" hidden="1" customWidth="1"/>
    <col min="28" max="28" width="9.5546875" style="38" hidden="1" customWidth="1"/>
    <col min="29" max="29" width="9.33203125" style="38" hidden="1" customWidth="1"/>
    <col min="30" max="30" width="9.88671875" style="38" hidden="1" customWidth="1"/>
    <col min="31" max="31" width="10.33203125" style="38" hidden="1" customWidth="1"/>
    <col min="32" max="32" width="8.88671875" style="8" hidden="1" customWidth="1"/>
    <col min="33" max="34" width="11" style="8" customWidth="1"/>
    <col min="35" max="40" width="11" style="323" customWidth="1"/>
    <col min="41" max="45" width="11" style="8" customWidth="1"/>
    <col min="46" max="46" width="11.44140625" style="323"/>
    <col min="47" max="47" width="27.88671875" style="8" customWidth="1"/>
    <col min="48" max="48" width="6.33203125" style="8" customWidth="1"/>
    <col min="49" max="49" width="11.44140625" style="8" customWidth="1"/>
    <col min="50" max="50" width="15.44140625" style="8" customWidth="1"/>
    <col min="51" max="51" width="16.44140625" style="8" customWidth="1"/>
    <col min="52" max="52" width="8.109375" style="8" customWidth="1"/>
    <col min="53" max="53" width="11.44140625" style="8" customWidth="1"/>
    <col min="54" max="54" width="13.6640625" style="8" customWidth="1"/>
    <col min="55" max="55" width="11.109375" style="8" customWidth="1"/>
    <col min="56" max="56" width="11.5546875" style="8" customWidth="1"/>
    <col min="57" max="266" width="11.44140625" style="8"/>
    <col min="267" max="267" width="5.33203125" style="8" customWidth="1"/>
    <col min="268" max="268" width="15.33203125" style="8" customWidth="1"/>
    <col min="269" max="269" width="14.44140625" style="8" bestFit="1" customWidth="1"/>
    <col min="270" max="270" width="10.44140625" style="8" bestFit="1" customWidth="1"/>
    <col min="271" max="271" width="12.33203125" style="8" customWidth="1"/>
    <col min="272" max="276" width="11.44140625" style="8" customWidth="1"/>
    <col min="277" max="278" width="10.5546875" style="8" bestFit="1" customWidth="1"/>
    <col min="279" max="280" width="11.44140625" style="8" customWidth="1"/>
    <col min="281" max="281" width="6.109375" style="8" customWidth="1"/>
    <col min="282" max="292" width="11.44140625" style="8" customWidth="1"/>
    <col min="293" max="522" width="11.44140625" style="8"/>
    <col min="523" max="523" width="5.33203125" style="8" customWidth="1"/>
    <col min="524" max="524" width="15.33203125" style="8" customWidth="1"/>
    <col min="525" max="525" width="14.44140625" style="8" bestFit="1" customWidth="1"/>
    <col min="526" max="526" width="10.44140625" style="8" bestFit="1" customWidth="1"/>
    <col min="527" max="527" width="12.33203125" style="8" customWidth="1"/>
    <col min="528" max="532" width="11.44140625" style="8" customWidth="1"/>
    <col min="533" max="534" width="10.5546875" style="8" bestFit="1" customWidth="1"/>
    <col min="535" max="536" width="11.44140625" style="8" customWidth="1"/>
    <col min="537" max="537" width="6.109375" style="8" customWidth="1"/>
    <col min="538" max="548" width="11.44140625" style="8" customWidth="1"/>
    <col min="549" max="601" width="11.44140625" style="8"/>
    <col min="602" max="602" width="11.44140625" style="13"/>
    <col min="603" max="778" width="11.44140625" style="8"/>
    <col min="779" max="779" width="5.33203125" style="8" customWidth="1"/>
    <col min="780" max="780" width="15.33203125" style="8" customWidth="1"/>
    <col min="781" max="781" width="14.44140625" style="8" bestFit="1" customWidth="1"/>
    <col min="782" max="782" width="10.44140625" style="8" bestFit="1" customWidth="1"/>
    <col min="783" max="783" width="12.33203125" style="8" customWidth="1"/>
    <col min="784" max="788" width="11.44140625" style="8" customWidth="1"/>
    <col min="789" max="790" width="10.5546875" style="8" bestFit="1" customWidth="1"/>
    <col min="791" max="792" width="11.44140625" style="8" customWidth="1"/>
    <col min="793" max="793" width="6.109375" style="8" customWidth="1"/>
    <col min="794" max="804" width="11.44140625" style="8" customWidth="1"/>
    <col min="805" max="1034" width="11.44140625" style="8"/>
    <col min="1035" max="1035" width="5.33203125" style="8" customWidth="1"/>
    <col min="1036" max="1036" width="15.33203125" style="8" customWidth="1"/>
    <col min="1037" max="1037" width="14.44140625" style="8" bestFit="1" customWidth="1"/>
    <col min="1038" max="1038" width="10.44140625" style="8" bestFit="1" customWidth="1"/>
    <col min="1039" max="1039" width="12.33203125" style="8" customWidth="1"/>
    <col min="1040" max="1044" width="11.44140625" style="8" customWidth="1"/>
    <col min="1045" max="1046" width="10.5546875" style="8" bestFit="1" customWidth="1"/>
    <col min="1047" max="1048" width="11.44140625" style="8" customWidth="1"/>
    <col min="1049" max="1049" width="6.109375" style="8" customWidth="1"/>
    <col min="1050" max="1060" width="11.44140625" style="8" customWidth="1"/>
    <col min="1061" max="1290" width="11.44140625" style="8"/>
    <col min="1291" max="1291" width="5.33203125" style="8" customWidth="1"/>
    <col min="1292" max="1292" width="15.33203125" style="8" customWidth="1"/>
    <col min="1293" max="1293" width="14.44140625" style="8" bestFit="1" customWidth="1"/>
    <col min="1294" max="1294" width="10.44140625" style="8" bestFit="1" customWidth="1"/>
    <col min="1295" max="1295" width="12.33203125" style="8" customWidth="1"/>
    <col min="1296" max="1300" width="11.44140625" style="8" customWidth="1"/>
    <col min="1301" max="1302" width="10.5546875" style="8" bestFit="1" customWidth="1"/>
    <col min="1303" max="1304" width="11.44140625" style="8" customWidth="1"/>
    <col min="1305" max="1305" width="6.109375" style="8" customWidth="1"/>
    <col min="1306" max="1316" width="11.44140625" style="8" customWidth="1"/>
    <col min="1317" max="1546" width="11.44140625" style="8"/>
    <col min="1547" max="1547" width="5.33203125" style="8" customWidth="1"/>
    <col min="1548" max="1548" width="15.33203125" style="8" customWidth="1"/>
    <col min="1549" max="1549" width="14.44140625" style="8" bestFit="1" customWidth="1"/>
    <col min="1550" max="1550" width="10.44140625" style="8" bestFit="1" customWidth="1"/>
    <col min="1551" max="1551" width="12.33203125" style="8" customWidth="1"/>
    <col min="1552" max="1556" width="11.44140625" style="8" customWidth="1"/>
    <col min="1557" max="1558" width="10.5546875" style="8" bestFit="1" customWidth="1"/>
    <col min="1559" max="1560" width="11.44140625" style="8" customWidth="1"/>
    <col min="1561" max="1561" width="6.109375" style="8" customWidth="1"/>
    <col min="1562" max="1572" width="11.44140625" style="8" customWidth="1"/>
    <col min="1573" max="1802" width="11.44140625" style="8"/>
    <col min="1803" max="1803" width="5.33203125" style="8" customWidth="1"/>
    <col min="1804" max="1804" width="15.33203125" style="8" customWidth="1"/>
    <col min="1805" max="1805" width="14.44140625" style="8" bestFit="1" customWidth="1"/>
    <col min="1806" max="1806" width="10.44140625" style="8" bestFit="1" customWidth="1"/>
    <col min="1807" max="1807" width="12.33203125" style="8" customWidth="1"/>
    <col min="1808" max="1812" width="11.44140625" style="8" customWidth="1"/>
    <col min="1813" max="1814" width="10.5546875" style="8" bestFit="1" customWidth="1"/>
    <col min="1815" max="1816" width="11.44140625" style="8" customWidth="1"/>
    <col min="1817" max="1817" width="6.109375" style="8" customWidth="1"/>
    <col min="1818" max="1828" width="11.44140625" style="8" customWidth="1"/>
    <col min="1829" max="2058" width="11.44140625" style="8"/>
    <col min="2059" max="2059" width="5.33203125" style="8" customWidth="1"/>
    <col min="2060" max="2060" width="15.33203125" style="8" customWidth="1"/>
    <col min="2061" max="2061" width="14.44140625" style="8" bestFit="1" customWidth="1"/>
    <col min="2062" max="2062" width="10.44140625" style="8" bestFit="1" customWidth="1"/>
    <col min="2063" max="2063" width="12.33203125" style="8" customWidth="1"/>
    <col min="2064" max="2068" width="11.44140625" style="8" customWidth="1"/>
    <col min="2069" max="2070" width="10.5546875" style="8" bestFit="1" customWidth="1"/>
    <col min="2071" max="2072" width="11.44140625" style="8" customWidth="1"/>
    <col min="2073" max="2073" width="6.109375" style="8" customWidth="1"/>
    <col min="2074" max="2084" width="11.44140625" style="8" customWidth="1"/>
    <col min="2085" max="2314" width="11.44140625" style="8"/>
    <col min="2315" max="2315" width="5.33203125" style="8" customWidth="1"/>
    <col min="2316" max="2316" width="15.33203125" style="8" customWidth="1"/>
    <col min="2317" max="2317" width="14.44140625" style="8" bestFit="1" customWidth="1"/>
    <col min="2318" max="2318" width="10.44140625" style="8" bestFit="1" customWidth="1"/>
    <col min="2319" max="2319" width="12.33203125" style="8" customWidth="1"/>
    <col min="2320" max="2324" width="11.44140625" style="8" customWidth="1"/>
    <col min="2325" max="2326" width="10.5546875" style="8" bestFit="1" customWidth="1"/>
    <col min="2327" max="2328" width="11.44140625" style="8" customWidth="1"/>
    <col min="2329" max="2329" width="6.109375" style="8" customWidth="1"/>
    <col min="2330" max="2340" width="11.44140625" style="8" customWidth="1"/>
    <col min="2341" max="2570" width="11.44140625" style="8"/>
    <col min="2571" max="2571" width="5.33203125" style="8" customWidth="1"/>
    <col min="2572" max="2572" width="15.33203125" style="8" customWidth="1"/>
    <col min="2573" max="2573" width="14.44140625" style="8" bestFit="1" customWidth="1"/>
    <col min="2574" max="2574" width="10.44140625" style="8" bestFit="1" customWidth="1"/>
    <col min="2575" max="2575" width="12.33203125" style="8" customWidth="1"/>
    <col min="2576" max="2580" width="11.44140625" style="8" customWidth="1"/>
    <col min="2581" max="2582" width="10.5546875" style="8" bestFit="1" customWidth="1"/>
    <col min="2583" max="2584" width="11.44140625" style="8" customWidth="1"/>
    <col min="2585" max="2585" width="6.109375" style="8" customWidth="1"/>
    <col min="2586" max="2596" width="11.44140625" style="8" customWidth="1"/>
    <col min="2597" max="2826" width="11.44140625" style="8"/>
    <col min="2827" max="2827" width="5.33203125" style="8" customWidth="1"/>
    <col min="2828" max="2828" width="15.33203125" style="8" customWidth="1"/>
    <col min="2829" max="2829" width="14.44140625" style="8" bestFit="1" customWidth="1"/>
    <col min="2830" max="2830" width="10.44140625" style="8" bestFit="1" customWidth="1"/>
    <col min="2831" max="2831" width="12.33203125" style="8" customWidth="1"/>
    <col min="2832" max="2836" width="11.44140625" style="8" customWidth="1"/>
    <col min="2837" max="2838" width="10.5546875" style="8" bestFit="1" customWidth="1"/>
    <col min="2839" max="2840" width="11.44140625" style="8" customWidth="1"/>
    <col min="2841" max="2841" width="6.109375" style="8" customWidth="1"/>
    <col min="2842" max="2852" width="11.44140625" style="8" customWidth="1"/>
    <col min="2853" max="3082" width="11.44140625" style="8"/>
    <col min="3083" max="3083" width="5.33203125" style="8" customWidth="1"/>
    <col min="3084" max="3084" width="15.33203125" style="8" customWidth="1"/>
    <col min="3085" max="3085" width="14.44140625" style="8" bestFit="1" customWidth="1"/>
    <col min="3086" max="3086" width="10.44140625" style="8" bestFit="1" customWidth="1"/>
    <col min="3087" max="3087" width="12.33203125" style="8" customWidth="1"/>
    <col min="3088" max="3092" width="11.44140625" style="8" customWidth="1"/>
    <col min="3093" max="3094" width="10.5546875" style="8" bestFit="1" customWidth="1"/>
    <col min="3095" max="3096" width="11.44140625" style="8" customWidth="1"/>
    <col min="3097" max="3097" width="6.109375" style="8" customWidth="1"/>
    <col min="3098" max="3108" width="11.44140625" style="8" customWidth="1"/>
    <col min="3109" max="3338" width="11.44140625" style="8"/>
    <col min="3339" max="3339" width="5.33203125" style="8" customWidth="1"/>
    <col min="3340" max="3340" width="15.33203125" style="8" customWidth="1"/>
    <col min="3341" max="3341" width="14.44140625" style="8" bestFit="1" customWidth="1"/>
    <col min="3342" max="3342" width="10.44140625" style="8" bestFit="1" customWidth="1"/>
    <col min="3343" max="3343" width="12.33203125" style="8" customWidth="1"/>
    <col min="3344" max="3348" width="11.44140625" style="8" customWidth="1"/>
    <col min="3349" max="3350" width="10.5546875" style="8" bestFit="1" customWidth="1"/>
    <col min="3351" max="3352" width="11.44140625" style="8" customWidth="1"/>
    <col min="3353" max="3353" width="6.109375" style="8" customWidth="1"/>
    <col min="3354" max="3364" width="11.44140625" style="8" customWidth="1"/>
    <col min="3365" max="3594" width="11.44140625" style="8"/>
    <col min="3595" max="3595" width="5.33203125" style="8" customWidth="1"/>
    <col min="3596" max="3596" width="15.33203125" style="8" customWidth="1"/>
    <col min="3597" max="3597" width="14.44140625" style="8" bestFit="1" customWidth="1"/>
    <col min="3598" max="3598" width="10.44140625" style="8" bestFit="1" customWidth="1"/>
    <col min="3599" max="3599" width="12.33203125" style="8" customWidth="1"/>
    <col min="3600" max="3604" width="11.44140625" style="8" customWidth="1"/>
    <col min="3605" max="3606" width="10.5546875" style="8" bestFit="1" customWidth="1"/>
    <col min="3607" max="3608" width="11.44140625" style="8" customWidth="1"/>
    <col min="3609" max="3609" width="6.109375" style="8" customWidth="1"/>
    <col min="3610" max="3620" width="11.44140625" style="8" customWidth="1"/>
    <col min="3621" max="3850" width="11.44140625" style="8"/>
    <col min="3851" max="3851" width="5.33203125" style="8" customWidth="1"/>
    <col min="3852" max="3852" width="15.33203125" style="8" customWidth="1"/>
    <col min="3853" max="3853" width="14.44140625" style="8" bestFit="1" customWidth="1"/>
    <col min="3854" max="3854" width="10.44140625" style="8" bestFit="1" customWidth="1"/>
    <col min="3855" max="3855" width="12.33203125" style="8" customWidth="1"/>
    <col min="3856" max="3860" width="11.44140625" style="8" customWidth="1"/>
    <col min="3861" max="3862" width="10.5546875" style="8" bestFit="1" customWidth="1"/>
    <col min="3863" max="3864" width="11.44140625" style="8" customWidth="1"/>
    <col min="3865" max="3865" width="6.109375" style="8" customWidth="1"/>
    <col min="3866" max="3876" width="11.44140625" style="8" customWidth="1"/>
    <col min="3877" max="4106" width="11.44140625" style="8"/>
    <col min="4107" max="4107" width="5.33203125" style="8" customWidth="1"/>
    <col min="4108" max="4108" width="15.33203125" style="8" customWidth="1"/>
    <col min="4109" max="4109" width="14.44140625" style="8" bestFit="1" customWidth="1"/>
    <col min="4110" max="4110" width="10.44140625" style="8" bestFit="1" customWidth="1"/>
    <col min="4111" max="4111" width="12.33203125" style="8" customWidth="1"/>
    <col min="4112" max="4116" width="11.44140625" style="8" customWidth="1"/>
    <col min="4117" max="4118" width="10.5546875" style="8" bestFit="1" customWidth="1"/>
    <col min="4119" max="4120" width="11.44140625" style="8" customWidth="1"/>
    <col min="4121" max="4121" width="6.109375" style="8" customWidth="1"/>
    <col min="4122" max="4132" width="11.44140625" style="8" customWidth="1"/>
    <col min="4133" max="4362" width="11.44140625" style="8"/>
    <col min="4363" max="4363" width="5.33203125" style="8" customWidth="1"/>
    <col min="4364" max="4364" width="15.33203125" style="8" customWidth="1"/>
    <col min="4365" max="4365" width="14.44140625" style="8" bestFit="1" customWidth="1"/>
    <col min="4366" max="4366" width="10.44140625" style="8" bestFit="1" customWidth="1"/>
    <col min="4367" max="4367" width="12.33203125" style="8" customWidth="1"/>
    <col min="4368" max="4372" width="11.44140625" style="8" customWidth="1"/>
    <col min="4373" max="4374" width="10.5546875" style="8" bestFit="1" customWidth="1"/>
    <col min="4375" max="4376" width="11.44140625" style="8" customWidth="1"/>
    <col min="4377" max="4377" width="6.109375" style="8" customWidth="1"/>
    <col min="4378" max="4388" width="11.44140625" style="8" customWidth="1"/>
    <col min="4389" max="4618" width="11.44140625" style="8"/>
    <col min="4619" max="4619" width="5.33203125" style="8" customWidth="1"/>
    <col min="4620" max="4620" width="15.33203125" style="8" customWidth="1"/>
    <col min="4621" max="4621" width="14.44140625" style="8" bestFit="1" customWidth="1"/>
    <col min="4622" max="4622" width="10.44140625" style="8" bestFit="1" customWidth="1"/>
    <col min="4623" max="4623" width="12.33203125" style="8" customWidth="1"/>
    <col min="4624" max="4628" width="11.44140625" style="8" customWidth="1"/>
    <col min="4629" max="4630" width="10.5546875" style="8" bestFit="1" customWidth="1"/>
    <col min="4631" max="4632" width="11.44140625" style="8" customWidth="1"/>
    <col min="4633" max="4633" width="6.109375" style="8" customWidth="1"/>
    <col min="4634" max="4644" width="11.44140625" style="8" customWidth="1"/>
    <col min="4645" max="4874" width="11.44140625" style="8"/>
    <col min="4875" max="4875" width="5.33203125" style="8" customWidth="1"/>
    <col min="4876" max="4876" width="15.33203125" style="8" customWidth="1"/>
    <col min="4877" max="4877" width="14.44140625" style="8" bestFit="1" customWidth="1"/>
    <col min="4878" max="4878" width="10.44140625" style="8" bestFit="1" customWidth="1"/>
    <col min="4879" max="4879" width="12.33203125" style="8" customWidth="1"/>
    <col min="4880" max="4884" width="11.44140625" style="8" customWidth="1"/>
    <col min="4885" max="4886" width="10.5546875" style="8" bestFit="1" customWidth="1"/>
    <col min="4887" max="4888" width="11.44140625" style="8" customWidth="1"/>
    <col min="4889" max="4889" width="6.109375" style="8" customWidth="1"/>
    <col min="4890" max="4900" width="11.44140625" style="8" customWidth="1"/>
    <col min="4901" max="5130" width="11.44140625" style="8"/>
    <col min="5131" max="5131" width="5.33203125" style="8" customWidth="1"/>
    <col min="5132" max="5132" width="15.33203125" style="8" customWidth="1"/>
    <col min="5133" max="5133" width="14.44140625" style="8" bestFit="1" customWidth="1"/>
    <col min="5134" max="5134" width="10.44140625" style="8" bestFit="1" customWidth="1"/>
    <col min="5135" max="5135" width="12.33203125" style="8" customWidth="1"/>
    <col min="5136" max="5140" width="11.44140625" style="8" customWidth="1"/>
    <col min="5141" max="5142" width="10.5546875" style="8" bestFit="1" customWidth="1"/>
    <col min="5143" max="5144" width="11.44140625" style="8" customWidth="1"/>
    <col min="5145" max="5145" width="6.109375" style="8" customWidth="1"/>
    <col min="5146" max="5156" width="11.44140625" style="8" customWidth="1"/>
    <col min="5157" max="5386" width="11.44140625" style="8"/>
    <col min="5387" max="5387" width="5.33203125" style="8" customWidth="1"/>
    <col min="5388" max="5388" width="15.33203125" style="8" customWidth="1"/>
    <col min="5389" max="5389" width="14.44140625" style="8" bestFit="1" customWidth="1"/>
    <col min="5390" max="5390" width="10.44140625" style="8" bestFit="1" customWidth="1"/>
    <col min="5391" max="5391" width="12.33203125" style="8" customWidth="1"/>
    <col min="5392" max="5396" width="11.44140625" style="8" customWidth="1"/>
    <col min="5397" max="5398" width="10.5546875" style="8" bestFit="1" customWidth="1"/>
    <col min="5399" max="5400" width="11.44140625" style="8" customWidth="1"/>
    <col min="5401" max="5401" width="6.109375" style="8" customWidth="1"/>
    <col min="5402" max="5412" width="11.44140625" style="8" customWidth="1"/>
    <col min="5413" max="5642" width="11.44140625" style="8"/>
    <col min="5643" max="5643" width="5.33203125" style="8" customWidth="1"/>
    <col min="5644" max="5644" width="15.33203125" style="8" customWidth="1"/>
    <col min="5645" max="5645" width="14.44140625" style="8" bestFit="1" customWidth="1"/>
    <col min="5646" max="5646" width="10.44140625" style="8" bestFit="1" customWidth="1"/>
    <col min="5647" max="5647" width="12.33203125" style="8" customWidth="1"/>
    <col min="5648" max="5652" width="11.44140625" style="8" customWidth="1"/>
    <col min="5653" max="5654" width="10.5546875" style="8" bestFit="1" customWidth="1"/>
    <col min="5655" max="5656" width="11.44140625" style="8" customWidth="1"/>
    <col min="5657" max="5657" width="6.109375" style="8" customWidth="1"/>
    <col min="5658" max="5668" width="11.44140625" style="8" customWidth="1"/>
    <col min="5669" max="5898" width="11.44140625" style="8"/>
    <col min="5899" max="5899" width="5.33203125" style="8" customWidth="1"/>
    <col min="5900" max="5900" width="15.33203125" style="8" customWidth="1"/>
    <col min="5901" max="5901" width="14.44140625" style="8" bestFit="1" customWidth="1"/>
    <col min="5902" max="5902" width="10.44140625" style="8" bestFit="1" customWidth="1"/>
    <col min="5903" max="5903" width="12.33203125" style="8" customWidth="1"/>
    <col min="5904" max="5908" width="11.44140625" style="8" customWidth="1"/>
    <col min="5909" max="5910" width="10.5546875" style="8" bestFit="1" customWidth="1"/>
    <col min="5911" max="5912" width="11.44140625" style="8" customWidth="1"/>
    <col min="5913" max="5913" width="6.109375" style="8" customWidth="1"/>
    <col min="5914" max="5924" width="11.44140625" style="8" customWidth="1"/>
    <col min="5925" max="6154" width="11.44140625" style="8"/>
    <col min="6155" max="6155" width="5.33203125" style="8" customWidth="1"/>
    <col min="6156" max="6156" width="15.33203125" style="8" customWidth="1"/>
    <col min="6157" max="6157" width="14.44140625" style="8" bestFit="1" customWidth="1"/>
    <col min="6158" max="6158" width="10.44140625" style="8" bestFit="1" customWidth="1"/>
    <col min="6159" max="6159" width="12.33203125" style="8" customWidth="1"/>
    <col min="6160" max="6164" width="11.44140625" style="8" customWidth="1"/>
    <col min="6165" max="6166" width="10.5546875" style="8" bestFit="1" customWidth="1"/>
    <col min="6167" max="6168" width="11.44140625" style="8" customWidth="1"/>
    <col min="6169" max="6169" width="6.109375" style="8" customWidth="1"/>
    <col min="6170" max="6180" width="11.44140625" style="8" customWidth="1"/>
    <col min="6181" max="6410" width="11.44140625" style="8"/>
    <col min="6411" max="6411" width="5.33203125" style="8" customWidth="1"/>
    <col min="6412" max="6412" width="15.33203125" style="8" customWidth="1"/>
    <col min="6413" max="6413" width="14.44140625" style="8" bestFit="1" customWidth="1"/>
    <col min="6414" max="6414" width="10.44140625" style="8" bestFit="1" customWidth="1"/>
    <col min="6415" max="6415" width="12.33203125" style="8" customWidth="1"/>
    <col min="6416" max="6420" width="11.44140625" style="8" customWidth="1"/>
    <col min="6421" max="6422" width="10.5546875" style="8" bestFit="1" customWidth="1"/>
    <col min="6423" max="6424" width="11.44140625" style="8" customWidth="1"/>
    <col min="6425" max="6425" width="6.109375" style="8" customWidth="1"/>
    <col min="6426" max="6436" width="11.44140625" style="8" customWidth="1"/>
    <col min="6437" max="6666" width="11.44140625" style="8"/>
    <col min="6667" max="6667" width="5.33203125" style="8" customWidth="1"/>
    <col min="6668" max="6668" width="15.33203125" style="8" customWidth="1"/>
    <col min="6669" max="6669" width="14.44140625" style="8" bestFit="1" customWidth="1"/>
    <col min="6670" max="6670" width="10.44140625" style="8" bestFit="1" customWidth="1"/>
    <col min="6671" max="6671" width="12.33203125" style="8" customWidth="1"/>
    <col min="6672" max="6676" width="11.44140625" style="8" customWidth="1"/>
    <col min="6677" max="6678" width="10.5546875" style="8" bestFit="1" customWidth="1"/>
    <col min="6679" max="6680" width="11.44140625" style="8" customWidth="1"/>
    <col min="6681" max="6681" width="6.109375" style="8" customWidth="1"/>
    <col min="6682" max="6692" width="11.44140625" style="8" customWidth="1"/>
    <col min="6693" max="6922" width="11.44140625" style="8"/>
    <col min="6923" max="6923" width="5.33203125" style="8" customWidth="1"/>
    <col min="6924" max="6924" width="15.33203125" style="8" customWidth="1"/>
    <col min="6925" max="6925" width="14.44140625" style="8" bestFit="1" customWidth="1"/>
    <col min="6926" max="6926" width="10.44140625" style="8" bestFit="1" customWidth="1"/>
    <col min="6927" max="6927" width="12.33203125" style="8" customWidth="1"/>
    <col min="6928" max="6932" width="11.44140625" style="8" customWidth="1"/>
    <col min="6933" max="6934" width="10.5546875" style="8" bestFit="1" customWidth="1"/>
    <col min="6935" max="6936" width="11.44140625" style="8" customWidth="1"/>
    <col min="6937" max="6937" width="6.109375" style="8" customWidth="1"/>
    <col min="6938" max="6948" width="11.44140625" style="8" customWidth="1"/>
    <col min="6949" max="7178" width="11.44140625" style="8"/>
    <col min="7179" max="7179" width="5.33203125" style="8" customWidth="1"/>
    <col min="7180" max="7180" width="15.33203125" style="8" customWidth="1"/>
    <col min="7181" max="7181" width="14.44140625" style="8" bestFit="1" customWidth="1"/>
    <col min="7182" max="7182" width="10.44140625" style="8" bestFit="1" customWidth="1"/>
    <col min="7183" max="7183" width="12.33203125" style="8" customWidth="1"/>
    <col min="7184" max="7188" width="11.44140625" style="8" customWidth="1"/>
    <col min="7189" max="7190" width="10.5546875" style="8" bestFit="1" customWidth="1"/>
    <col min="7191" max="7192" width="11.44140625" style="8" customWidth="1"/>
    <col min="7193" max="7193" width="6.109375" style="8" customWidth="1"/>
    <col min="7194" max="7204" width="11.44140625" style="8" customWidth="1"/>
    <col min="7205" max="7434" width="11.44140625" style="8"/>
    <col min="7435" max="7435" width="5.33203125" style="8" customWidth="1"/>
    <col min="7436" max="7436" width="15.33203125" style="8" customWidth="1"/>
    <col min="7437" max="7437" width="14.44140625" style="8" bestFit="1" customWidth="1"/>
    <col min="7438" max="7438" width="10.44140625" style="8" bestFit="1" customWidth="1"/>
    <col min="7439" max="7439" width="12.33203125" style="8" customWidth="1"/>
    <col min="7440" max="7444" width="11.44140625" style="8" customWidth="1"/>
    <col min="7445" max="7446" width="10.5546875" style="8" bestFit="1" customWidth="1"/>
    <col min="7447" max="7448" width="11.44140625" style="8" customWidth="1"/>
    <col min="7449" max="7449" width="6.109375" style="8" customWidth="1"/>
    <col min="7450" max="7460" width="11.44140625" style="8" customWidth="1"/>
    <col min="7461" max="7690" width="11.44140625" style="8"/>
    <col min="7691" max="7691" width="5.33203125" style="8" customWidth="1"/>
    <col min="7692" max="7692" width="15.33203125" style="8" customWidth="1"/>
    <col min="7693" max="7693" width="14.44140625" style="8" bestFit="1" customWidth="1"/>
    <col min="7694" max="7694" width="10.44140625" style="8" bestFit="1" customWidth="1"/>
    <col min="7695" max="7695" width="12.33203125" style="8" customWidth="1"/>
    <col min="7696" max="7700" width="11.44140625" style="8" customWidth="1"/>
    <col min="7701" max="7702" width="10.5546875" style="8" bestFit="1" customWidth="1"/>
    <col min="7703" max="7704" width="11.44140625" style="8" customWidth="1"/>
    <col min="7705" max="7705" width="6.109375" style="8" customWidth="1"/>
    <col min="7706" max="7716" width="11.44140625" style="8" customWidth="1"/>
    <col min="7717" max="7946" width="11.44140625" style="8"/>
    <col min="7947" max="7947" width="5.33203125" style="8" customWidth="1"/>
    <col min="7948" max="7948" width="15.33203125" style="8" customWidth="1"/>
    <col min="7949" max="7949" width="14.44140625" style="8" bestFit="1" customWidth="1"/>
    <col min="7950" max="7950" width="10.44140625" style="8" bestFit="1" customWidth="1"/>
    <col min="7951" max="7951" width="12.33203125" style="8" customWidth="1"/>
    <col min="7952" max="7956" width="11.44140625" style="8" customWidth="1"/>
    <col min="7957" max="7958" width="10.5546875" style="8" bestFit="1" customWidth="1"/>
    <col min="7959" max="7960" width="11.44140625" style="8" customWidth="1"/>
    <col min="7961" max="7961" width="6.109375" style="8" customWidth="1"/>
    <col min="7962" max="7972" width="11.44140625" style="8" customWidth="1"/>
    <col min="7973" max="8202" width="11.44140625" style="8"/>
    <col min="8203" max="8203" width="5.33203125" style="8" customWidth="1"/>
    <col min="8204" max="8204" width="15.33203125" style="8" customWidth="1"/>
    <col min="8205" max="8205" width="14.44140625" style="8" bestFit="1" customWidth="1"/>
    <col min="8206" max="8206" width="10.44140625" style="8" bestFit="1" customWidth="1"/>
    <col min="8207" max="8207" width="12.33203125" style="8" customWidth="1"/>
    <col min="8208" max="8212" width="11.44140625" style="8" customWidth="1"/>
    <col min="8213" max="8214" width="10.5546875" style="8" bestFit="1" customWidth="1"/>
    <col min="8215" max="8216" width="11.44140625" style="8" customWidth="1"/>
    <col min="8217" max="8217" width="6.109375" style="8" customWidth="1"/>
    <col min="8218" max="8228" width="11.44140625" style="8" customWidth="1"/>
    <col min="8229" max="8458" width="11.44140625" style="8"/>
    <col min="8459" max="8459" width="5.33203125" style="8" customWidth="1"/>
    <col min="8460" max="8460" width="15.33203125" style="8" customWidth="1"/>
    <col min="8461" max="8461" width="14.44140625" style="8" bestFit="1" customWidth="1"/>
    <col min="8462" max="8462" width="10.44140625" style="8" bestFit="1" customWidth="1"/>
    <col min="8463" max="8463" width="12.33203125" style="8" customWidth="1"/>
    <col min="8464" max="8468" width="11.44140625" style="8" customWidth="1"/>
    <col min="8469" max="8470" width="10.5546875" style="8" bestFit="1" customWidth="1"/>
    <col min="8471" max="8472" width="11.44140625" style="8" customWidth="1"/>
    <col min="8473" max="8473" width="6.109375" style="8" customWidth="1"/>
    <col min="8474" max="8484" width="11.44140625" style="8" customWidth="1"/>
    <col min="8485" max="8714" width="11.44140625" style="8"/>
    <col min="8715" max="8715" width="5.33203125" style="8" customWidth="1"/>
    <col min="8716" max="8716" width="15.33203125" style="8" customWidth="1"/>
    <col min="8717" max="8717" width="14.44140625" style="8" bestFit="1" customWidth="1"/>
    <col min="8718" max="8718" width="10.44140625" style="8" bestFit="1" customWidth="1"/>
    <col min="8719" max="8719" width="12.33203125" style="8" customWidth="1"/>
    <col min="8720" max="8724" width="11.44140625" style="8" customWidth="1"/>
    <col min="8725" max="8726" width="10.5546875" style="8" bestFit="1" customWidth="1"/>
    <col min="8727" max="8728" width="11.44140625" style="8" customWidth="1"/>
    <col min="8729" max="8729" width="6.109375" style="8" customWidth="1"/>
    <col min="8730" max="8740" width="11.44140625" style="8" customWidth="1"/>
    <col min="8741" max="8970" width="11.44140625" style="8"/>
    <col min="8971" max="8971" width="5.33203125" style="8" customWidth="1"/>
    <col min="8972" max="8972" width="15.33203125" style="8" customWidth="1"/>
    <col min="8973" max="8973" width="14.44140625" style="8" bestFit="1" customWidth="1"/>
    <col min="8974" max="8974" width="10.44140625" style="8" bestFit="1" customWidth="1"/>
    <col min="8975" max="8975" width="12.33203125" style="8" customWidth="1"/>
    <col min="8976" max="8980" width="11.44140625" style="8" customWidth="1"/>
    <col min="8981" max="8982" width="10.5546875" style="8" bestFit="1" customWidth="1"/>
    <col min="8983" max="8984" width="11.44140625" style="8" customWidth="1"/>
    <col min="8985" max="8985" width="6.109375" style="8" customWidth="1"/>
    <col min="8986" max="8996" width="11.44140625" style="8" customWidth="1"/>
    <col min="8997" max="9226" width="11.44140625" style="8"/>
    <col min="9227" max="9227" width="5.33203125" style="8" customWidth="1"/>
    <col min="9228" max="9228" width="15.33203125" style="8" customWidth="1"/>
    <col min="9229" max="9229" width="14.44140625" style="8" bestFit="1" customWidth="1"/>
    <col min="9230" max="9230" width="10.44140625" style="8" bestFit="1" customWidth="1"/>
    <col min="9231" max="9231" width="12.33203125" style="8" customWidth="1"/>
    <col min="9232" max="9236" width="11.44140625" style="8" customWidth="1"/>
    <col min="9237" max="9238" width="10.5546875" style="8" bestFit="1" customWidth="1"/>
    <col min="9239" max="9240" width="11.44140625" style="8" customWidth="1"/>
    <col min="9241" max="9241" width="6.109375" style="8" customWidth="1"/>
    <col min="9242" max="9252" width="11.44140625" style="8" customWidth="1"/>
    <col min="9253" max="9482" width="11.44140625" style="8"/>
    <col min="9483" max="9483" width="5.33203125" style="8" customWidth="1"/>
    <col min="9484" max="9484" width="15.33203125" style="8" customWidth="1"/>
    <col min="9485" max="9485" width="14.44140625" style="8" bestFit="1" customWidth="1"/>
    <col min="9486" max="9486" width="10.44140625" style="8" bestFit="1" customWidth="1"/>
    <col min="9487" max="9487" width="12.33203125" style="8" customWidth="1"/>
    <col min="9488" max="9492" width="11.44140625" style="8" customWidth="1"/>
    <col min="9493" max="9494" width="10.5546875" style="8" bestFit="1" customWidth="1"/>
    <col min="9495" max="9496" width="11.44140625" style="8" customWidth="1"/>
    <col min="9497" max="9497" width="6.109375" style="8" customWidth="1"/>
    <col min="9498" max="9508" width="11.44140625" style="8" customWidth="1"/>
    <col min="9509" max="9738" width="11.44140625" style="8"/>
    <col min="9739" max="9739" width="5.33203125" style="8" customWidth="1"/>
    <col min="9740" max="9740" width="15.33203125" style="8" customWidth="1"/>
    <col min="9741" max="9741" width="14.44140625" style="8" bestFit="1" customWidth="1"/>
    <col min="9742" max="9742" width="10.44140625" style="8" bestFit="1" customWidth="1"/>
    <col min="9743" max="9743" width="12.33203125" style="8" customWidth="1"/>
    <col min="9744" max="9748" width="11.44140625" style="8" customWidth="1"/>
    <col min="9749" max="9750" width="10.5546875" style="8" bestFit="1" customWidth="1"/>
    <col min="9751" max="9752" width="11.44140625" style="8" customWidth="1"/>
    <col min="9753" max="9753" width="6.109375" style="8" customWidth="1"/>
    <col min="9754" max="9764" width="11.44140625" style="8" customWidth="1"/>
    <col min="9765" max="9994" width="11.44140625" style="8"/>
    <col min="9995" max="9995" width="5.33203125" style="8" customWidth="1"/>
    <col min="9996" max="9996" width="15.33203125" style="8" customWidth="1"/>
    <col min="9997" max="9997" width="14.44140625" style="8" bestFit="1" customWidth="1"/>
    <col min="9998" max="9998" width="10.44140625" style="8" bestFit="1" customWidth="1"/>
    <col min="9999" max="9999" width="12.33203125" style="8" customWidth="1"/>
    <col min="10000" max="10004" width="11.44140625" style="8" customWidth="1"/>
    <col min="10005" max="10006" width="10.5546875" style="8" bestFit="1" customWidth="1"/>
    <col min="10007" max="10008" width="11.44140625" style="8" customWidth="1"/>
    <col min="10009" max="10009" width="6.109375" style="8" customWidth="1"/>
    <col min="10010" max="10020" width="11.44140625" style="8" customWidth="1"/>
    <col min="10021" max="10250" width="11.44140625" style="8"/>
    <col min="10251" max="10251" width="5.33203125" style="8" customWidth="1"/>
    <col min="10252" max="10252" width="15.33203125" style="8" customWidth="1"/>
    <col min="10253" max="10253" width="14.44140625" style="8" bestFit="1" customWidth="1"/>
    <col min="10254" max="10254" width="10.44140625" style="8" bestFit="1" customWidth="1"/>
    <col min="10255" max="10255" width="12.33203125" style="8" customWidth="1"/>
    <col min="10256" max="10260" width="11.44140625" style="8" customWidth="1"/>
    <col min="10261" max="10262" width="10.5546875" style="8" bestFit="1" customWidth="1"/>
    <col min="10263" max="10264" width="11.44140625" style="8" customWidth="1"/>
    <col min="10265" max="10265" width="6.109375" style="8" customWidth="1"/>
    <col min="10266" max="10276" width="11.44140625" style="8" customWidth="1"/>
    <col min="10277" max="10506" width="11.44140625" style="8"/>
    <col min="10507" max="10507" width="5.33203125" style="8" customWidth="1"/>
    <col min="10508" max="10508" width="15.33203125" style="8" customWidth="1"/>
    <col min="10509" max="10509" width="14.44140625" style="8" bestFit="1" customWidth="1"/>
    <col min="10510" max="10510" width="10.44140625" style="8" bestFit="1" customWidth="1"/>
    <col min="10511" max="10511" width="12.33203125" style="8" customWidth="1"/>
    <col min="10512" max="10516" width="11.44140625" style="8" customWidth="1"/>
    <col min="10517" max="10518" width="10.5546875" style="8" bestFit="1" customWidth="1"/>
    <col min="10519" max="10520" width="11.44140625" style="8" customWidth="1"/>
    <col min="10521" max="10521" width="6.109375" style="8" customWidth="1"/>
    <col min="10522" max="10532" width="11.44140625" style="8" customWidth="1"/>
    <col min="10533" max="10762" width="11.44140625" style="8"/>
    <col min="10763" max="10763" width="5.33203125" style="8" customWidth="1"/>
    <col min="10764" max="10764" width="15.33203125" style="8" customWidth="1"/>
    <col min="10765" max="10765" width="14.44140625" style="8" bestFit="1" customWidth="1"/>
    <col min="10766" max="10766" width="10.44140625" style="8" bestFit="1" customWidth="1"/>
    <col min="10767" max="10767" width="12.33203125" style="8" customWidth="1"/>
    <col min="10768" max="10772" width="11.44140625" style="8" customWidth="1"/>
    <col min="10773" max="10774" width="10.5546875" style="8" bestFit="1" customWidth="1"/>
    <col min="10775" max="10776" width="11.44140625" style="8" customWidth="1"/>
    <col min="10777" max="10777" width="6.109375" style="8" customWidth="1"/>
    <col min="10778" max="10788" width="11.44140625" style="8" customWidth="1"/>
    <col min="10789" max="11018" width="11.44140625" style="8"/>
    <col min="11019" max="11019" width="5.33203125" style="8" customWidth="1"/>
    <col min="11020" max="11020" width="15.33203125" style="8" customWidth="1"/>
    <col min="11021" max="11021" width="14.44140625" style="8" bestFit="1" customWidth="1"/>
    <col min="11022" max="11022" width="10.44140625" style="8" bestFit="1" customWidth="1"/>
    <col min="11023" max="11023" width="12.33203125" style="8" customWidth="1"/>
    <col min="11024" max="11028" width="11.44140625" style="8" customWidth="1"/>
    <col min="11029" max="11030" width="10.5546875" style="8" bestFit="1" customWidth="1"/>
    <col min="11031" max="11032" width="11.44140625" style="8" customWidth="1"/>
    <col min="11033" max="11033" width="6.109375" style="8" customWidth="1"/>
    <col min="11034" max="11044" width="11.44140625" style="8" customWidth="1"/>
    <col min="11045" max="11274" width="11.44140625" style="8"/>
    <col min="11275" max="11275" width="5.33203125" style="8" customWidth="1"/>
    <col min="11276" max="11276" width="15.33203125" style="8" customWidth="1"/>
    <col min="11277" max="11277" width="14.44140625" style="8" bestFit="1" customWidth="1"/>
    <col min="11278" max="11278" width="10.44140625" style="8" bestFit="1" customWidth="1"/>
    <col min="11279" max="11279" width="12.33203125" style="8" customWidth="1"/>
    <col min="11280" max="11284" width="11.44140625" style="8" customWidth="1"/>
    <col min="11285" max="11286" width="10.5546875" style="8" bestFit="1" customWidth="1"/>
    <col min="11287" max="11288" width="11.44140625" style="8" customWidth="1"/>
    <col min="11289" max="11289" width="6.109375" style="8" customWidth="1"/>
    <col min="11290" max="11300" width="11.44140625" style="8" customWidth="1"/>
    <col min="11301" max="11530" width="11.44140625" style="8"/>
    <col min="11531" max="11531" width="5.33203125" style="8" customWidth="1"/>
    <col min="11532" max="11532" width="15.33203125" style="8" customWidth="1"/>
    <col min="11533" max="11533" width="14.44140625" style="8" bestFit="1" customWidth="1"/>
    <col min="11534" max="11534" width="10.44140625" style="8" bestFit="1" customWidth="1"/>
    <col min="11535" max="11535" width="12.33203125" style="8" customWidth="1"/>
    <col min="11536" max="11540" width="11.44140625" style="8" customWidth="1"/>
    <col min="11541" max="11542" width="10.5546875" style="8" bestFit="1" customWidth="1"/>
    <col min="11543" max="11544" width="11.44140625" style="8" customWidth="1"/>
    <col min="11545" max="11545" width="6.109375" style="8" customWidth="1"/>
    <col min="11546" max="11556" width="11.44140625" style="8" customWidth="1"/>
    <col min="11557" max="11786" width="11.44140625" style="8"/>
    <col min="11787" max="11787" width="5.33203125" style="8" customWidth="1"/>
    <col min="11788" max="11788" width="15.33203125" style="8" customWidth="1"/>
    <col min="11789" max="11789" width="14.44140625" style="8" bestFit="1" customWidth="1"/>
    <col min="11790" max="11790" width="10.44140625" style="8" bestFit="1" customWidth="1"/>
    <col min="11791" max="11791" width="12.33203125" style="8" customWidth="1"/>
    <col min="11792" max="11796" width="11.44140625" style="8" customWidth="1"/>
    <col min="11797" max="11798" width="10.5546875" style="8" bestFit="1" customWidth="1"/>
    <col min="11799" max="11800" width="11.44140625" style="8" customWidth="1"/>
    <col min="11801" max="11801" width="6.109375" style="8" customWidth="1"/>
    <col min="11802" max="11812" width="11.44140625" style="8" customWidth="1"/>
    <col min="11813" max="12042" width="11.44140625" style="8"/>
    <col min="12043" max="12043" width="5.33203125" style="8" customWidth="1"/>
    <col min="12044" max="12044" width="15.33203125" style="8" customWidth="1"/>
    <col min="12045" max="12045" width="14.44140625" style="8" bestFit="1" customWidth="1"/>
    <col min="12046" max="12046" width="10.44140625" style="8" bestFit="1" customWidth="1"/>
    <col min="12047" max="12047" width="12.33203125" style="8" customWidth="1"/>
    <col min="12048" max="12052" width="11.44140625" style="8" customWidth="1"/>
    <col min="12053" max="12054" width="10.5546875" style="8" bestFit="1" customWidth="1"/>
    <col min="12055" max="12056" width="11.44140625" style="8" customWidth="1"/>
    <col min="12057" max="12057" width="6.109375" style="8" customWidth="1"/>
    <col min="12058" max="12068" width="11.44140625" style="8" customWidth="1"/>
    <col min="12069" max="12298" width="11.44140625" style="8"/>
    <col min="12299" max="12299" width="5.33203125" style="8" customWidth="1"/>
    <col min="12300" max="12300" width="15.33203125" style="8" customWidth="1"/>
    <col min="12301" max="12301" width="14.44140625" style="8" bestFit="1" customWidth="1"/>
    <col min="12302" max="12302" width="10.44140625" style="8" bestFit="1" customWidth="1"/>
    <col min="12303" max="12303" width="12.33203125" style="8" customWidth="1"/>
    <col min="12304" max="12308" width="11.44140625" style="8" customWidth="1"/>
    <col min="12309" max="12310" width="10.5546875" style="8" bestFit="1" customWidth="1"/>
    <col min="12311" max="12312" width="11.44140625" style="8" customWidth="1"/>
    <col min="12313" max="12313" width="6.109375" style="8" customWidth="1"/>
    <col min="12314" max="12324" width="11.44140625" style="8" customWidth="1"/>
    <col min="12325" max="12554" width="11.44140625" style="8"/>
    <col min="12555" max="12555" width="5.33203125" style="8" customWidth="1"/>
    <col min="12556" max="12556" width="15.33203125" style="8" customWidth="1"/>
    <col min="12557" max="12557" width="14.44140625" style="8" bestFit="1" customWidth="1"/>
    <col min="12558" max="12558" width="10.44140625" style="8" bestFit="1" customWidth="1"/>
    <col min="12559" max="12559" width="12.33203125" style="8" customWidth="1"/>
    <col min="12560" max="12564" width="11.44140625" style="8" customWidth="1"/>
    <col min="12565" max="12566" width="10.5546875" style="8" bestFit="1" customWidth="1"/>
    <col min="12567" max="12568" width="11.44140625" style="8" customWidth="1"/>
    <col min="12569" max="12569" width="6.109375" style="8" customWidth="1"/>
    <col min="12570" max="12580" width="11.44140625" style="8" customWidth="1"/>
    <col min="12581" max="12810" width="11.44140625" style="8"/>
    <col min="12811" max="12811" width="5.33203125" style="8" customWidth="1"/>
    <col min="12812" max="12812" width="15.33203125" style="8" customWidth="1"/>
    <col min="12813" max="12813" width="14.44140625" style="8" bestFit="1" customWidth="1"/>
    <col min="12814" max="12814" width="10.44140625" style="8" bestFit="1" customWidth="1"/>
    <col min="12815" max="12815" width="12.33203125" style="8" customWidth="1"/>
    <col min="12816" max="12820" width="11.44140625" style="8" customWidth="1"/>
    <col min="12821" max="12822" width="10.5546875" style="8" bestFit="1" customWidth="1"/>
    <col min="12823" max="12824" width="11.44140625" style="8" customWidth="1"/>
    <col min="12825" max="12825" width="6.109375" style="8" customWidth="1"/>
    <col min="12826" max="12836" width="11.44140625" style="8" customWidth="1"/>
    <col min="12837" max="13066" width="11.44140625" style="8"/>
    <col min="13067" max="13067" width="5.33203125" style="8" customWidth="1"/>
    <col min="13068" max="13068" width="15.33203125" style="8" customWidth="1"/>
    <col min="13069" max="13069" width="14.44140625" style="8" bestFit="1" customWidth="1"/>
    <col min="13070" max="13070" width="10.44140625" style="8" bestFit="1" customWidth="1"/>
    <col min="13071" max="13071" width="12.33203125" style="8" customWidth="1"/>
    <col min="13072" max="13076" width="11.44140625" style="8" customWidth="1"/>
    <col min="13077" max="13078" width="10.5546875" style="8" bestFit="1" customWidth="1"/>
    <col min="13079" max="13080" width="11.44140625" style="8" customWidth="1"/>
    <col min="13081" max="13081" width="6.109375" style="8" customWidth="1"/>
    <col min="13082" max="13092" width="11.44140625" style="8" customWidth="1"/>
    <col min="13093" max="13322" width="11.44140625" style="8"/>
    <col min="13323" max="13323" width="5.33203125" style="8" customWidth="1"/>
    <col min="13324" max="13324" width="15.33203125" style="8" customWidth="1"/>
    <col min="13325" max="13325" width="14.44140625" style="8" bestFit="1" customWidth="1"/>
    <col min="13326" max="13326" width="10.44140625" style="8" bestFit="1" customWidth="1"/>
    <col min="13327" max="13327" width="12.33203125" style="8" customWidth="1"/>
    <col min="13328" max="13332" width="11.44140625" style="8" customWidth="1"/>
    <col min="13333" max="13334" width="10.5546875" style="8" bestFit="1" customWidth="1"/>
    <col min="13335" max="13336" width="11.44140625" style="8" customWidth="1"/>
    <col min="13337" max="13337" width="6.109375" style="8" customWidth="1"/>
    <col min="13338" max="13348" width="11.44140625" style="8" customWidth="1"/>
    <col min="13349" max="13578" width="11.44140625" style="8"/>
    <col min="13579" max="13579" width="5.33203125" style="8" customWidth="1"/>
    <col min="13580" max="13580" width="15.33203125" style="8" customWidth="1"/>
    <col min="13581" max="13581" width="14.44140625" style="8" bestFit="1" customWidth="1"/>
    <col min="13582" max="13582" width="10.44140625" style="8" bestFit="1" customWidth="1"/>
    <col min="13583" max="13583" width="12.33203125" style="8" customWidth="1"/>
    <col min="13584" max="13588" width="11.44140625" style="8" customWidth="1"/>
    <col min="13589" max="13590" width="10.5546875" style="8" bestFit="1" customWidth="1"/>
    <col min="13591" max="13592" width="11.44140625" style="8" customWidth="1"/>
    <col min="13593" max="13593" width="6.109375" style="8" customWidth="1"/>
    <col min="13594" max="13604" width="11.44140625" style="8" customWidth="1"/>
    <col min="13605" max="13834" width="11.44140625" style="8"/>
    <col min="13835" max="13835" width="5.33203125" style="8" customWidth="1"/>
    <col min="13836" max="13836" width="15.33203125" style="8" customWidth="1"/>
    <col min="13837" max="13837" width="14.44140625" style="8" bestFit="1" customWidth="1"/>
    <col min="13838" max="13838" width="10.44140625" style="8" bestFit="1" customWidth="1"/>
    <col min="13839" max="13839" width="12.33203125" style="8" customWidth="1"/>
    <col min="13840" max="13844" width="11.44140625" style="8" customWidth="1"/>
    <col min="13845" max="13846" width="10.5546875" style="8" bestFit="1" customWidth="1"/>
    <col min="13847" max="13848" width="11.44140625" style="8" customWidth="1"/>
    <col min="13849" max="13849" width="6.109375" style="8" customWidth="1"/>
    <col min="13850" max="13860" width="11.44140625" style="8" customWidth="1"/>
    <col min="13861" max="14090" width="11.44140625" style="8"/>
    <col min="14091" max="14091" width="5.33203125" style="8" customWidth="1"/>
    <col min="14092" max="14092" width="15.33203125" style="8" customWidth="1"/>
    <col min="14093" max="14093" width="14.44140625" style="8" bestFit="1" customWidth="1"/>
    <col min="14094" max="14094" width="10.44140625" style="8" bestFit="1" customWidth="1"/>
    <col min="14095" max="14095" width="12.33203125" style="8" customWidth="1"/>
    <col min="14096" max="14100" width="11.44140625" style="8" customWidth="1"/>
    <col min="14101" max="14102" width="10.5546875" style="8" bestFit="1" customWidth="1"/>
    <col min="14103" max="14104" width="11.44140625" style="8" customWidth="1"/>
    <col min="14105" max="14105" width="6.109375" style="8" customWidth="1"/>
    <col min="14106" max="14116" width="11.44140625" style="8" customWidth="1"/>
    <col min="14117" max="14346" width="11.44140625" style="8"/>
    <col min="14347" max="14347" width="5.33203125" style="8" customWidth="1"/>
    <col min="14348" max="14348" width="15.33203125" style="8" customWidth="1"/>
    <col min="14349" max="14349" width="14.44140625" style="8" bestFit="1" customWidth="1"/>
    <col min="14350" max="14350" width="10.44140625" style="8" bestFit="1" customWidth="1"/>
    <col min="14351" max="14351" width="12.33203125" style="8" customWidth="1"/>
    <col min="14352" max="14356" width="11.44140625" style="8" customWidth="1"/>
    <col min="14357" max="14358" width="10.5546875" style="8" bestFit="1" customWidth="1"/>
    <col min="14359" max="14360" width="11.44140625" style="8" customWidth="1"/>
    <col min="14361" max="14361" width="6.109375" style="8" customWidth="1"/>
    <col min="14362" max="14372" width="11.44140625" style="8" customWidth="1"/>
    <col min="14373" max="14602" width="11.44140625" style="8"/>
    <col min="14603" max="14603" width="5.33203125" style="8" customWidth="1"/>
    <col min="14604" max="14604" width="15.33203125" style="8" customWidth="1"/>
    <col min="14605" max="14605" width="14.44140625" style="8" bestFit="1" customWidth="1"/>
    <col min="14606" max="14606" width="10.44140625" style="8" bestFit="1" customWidth="1"/>
    <col min="14607" max="14607" width="12.33203125" style="8" customWidth="1"/>
    <col min="14608" max="14612" width="11.44140625" style="8" customWidth="1"/>
    <col min="14613" max="14614" width="10.5546875" style="8" bestFit="1" customWidth="1"/>
    <col min="14615" max="14616" width="11.44140625" style="8" customWidth="1"/>
    <col min="14617" max="14617" width="6.109375" style="8" customWidth="1"/>
    <col min="14618" max="14628" width="11.44140625" style="8" customWidth="1"/>
    <col min="14629" max="14858" width="11.44140625" style="8"/>
    <col min="14859" max="14859" width="5.33203125" style="8" customWidth="1"/>
    <col min="14860" max="14860" width="15.33203125" style="8" customWidth="1"/>
    <col min="14861" max="14861" width="14.44140625" style="8" bestFit="1" customWidth="1"/>
    <col min="14862" max="14862" width="10.44140625" style="8" bestFit="1" customWidth="1"/>
    <col min="14863" max="14863" width="12.33203125" style="8" customWidth="1"/>
    <col min="14864" max="14868" width="11.44140625" style="8" customWidth="1"/>
    <col min="14869" max="14870" width="10.5546875" style="8" bestFit="1" customWidth="1"/>
    <col min="14871" max="14872" width="11.44140625" style="8" customWidth="1"/>
    <col min="14873" max="14873" width="6.109375" style="8" customWidth="1"/>
    <col min="14874" max="14884" width="11.44140625" style="8" customWidth="1"/>
    <col min="14885" max="15114" width="11.44140625" style="8"/>
    <col min="15115" max="15115" width="5.33203125" style="8" customWidth="1"/>
    <col min="15116" max="15116" width="15.33203125" style="8" customWidth="1"/>
    <col min="15117" max="15117" width="14.44140625" style="8" bestFit="1" customWidth="1"/>
    <col min="15118" max="15118" width="10.44140625" style="8" bestFit="1" customWidth="1"/>
    <col min="15119" max="15119" width="12.33203125" style="8" customWidth="1"/>
    <col min="15120" max="15124" width="11.44140625" style="8" customWidth="1"/>
    <col min="15125" max="15126" width="10.5546875" style="8" bestFit="1" customWidth="1"/>
    <col min="15127" max="15128" width="11.44140625" style="8" customWidth="1"/>
    <col min="15129" max="15129" width="6.109375" style="8" customWidth="1"/>
    <col min="15130" max="15140" width="11.44140625" style="8" customWidth="1"/>
    <col min="15141" max="15370" width="11.44140625" style="8"/>
    <col min="15371" max="15371" width="5.33203125" style="8" customWidth="1"/>
    <col min="15372" max="15372" width="15.33203125" style="8" customWidth="1"/>
    <col min="15373" max="15373" width="14.44140625" style="8" bestFit="1" customWidth="1"/>
    <col min="15374" max="15374" width="10.44140625" style="8" bestFit="1" customWidth="1"/>
    <col min="15375" max="15375" width="12.33203125" style="8" customWidth="1"/>
    <col min="15376" max="15380" width="11.44140625" style="8" customWidth="1"/>
    <col min="15381" max="15382" width="10.5546875" style="8" bestFit="1" customWidth="1"/>
    <col min="15383" max="15384" width="11.44140625" style="8" customWidth="1"/>
    <col min="15385" max="15385" width="6.109375" style="8" customWidth="1"/>
    <col min="15386" max="15396" width="11.44140625" style="8" customWidth="1"/>
    <col min="15397" max="15626" width="11.44140625" style="8"/>
    <col min="15627" max="15627" width="5.33203125" style="8" customWidth="1"/>
    <col min="15628" max="15628" width="15.33203125" style="8" customWidth="1"/>
    <col min="15629" max="15629" width="14.44140625" style="8" bestFit="1" customWidth="1"/>
    <col min="15630" max="15630" width="10.44140625" style="8" bestFit="1" customWidth="1"/>
    <col min="15631" max="15631" width="12.33203125" style="8" customWidth="1"/>
    <col min="15632" max="15636" width="11.44140625" style="8" customWidth="1"/>
    <col min="15637" max="15638" width="10.5546875" style="8" bestFit="1" customWidth="1"/>
    <col min="15639" max="15640" width="11.44140625" style="8" customWidth="1"/>
    <col min="15641" max="15641" width="6.109375" style="8" customWidth="1"/>
    <col min="15642" max="15652" width="11.44140625" style="8" customWidth="1"/>
    <col min="15653" max="15882" width="11.44140625" style="8"/>
    <col min="15883" max="15883" width="5.33203125" style="8" customWidth="1"/>
    <col min="15884" max="15884" width="15.33203125" style="8" customWidth="1"/>
    <col min="15885" max="15885" width="14.44140625" style="8" bestFit="1" customWidth="1"/>
    <col min="15886" max="15886" width="10.44140625" style="8" bestFit="1" customWidth="1"/>
    <col min="15887" max="15887" width="12.33203125" style="8" customWidth="1"/>
    <col min="15888" max="15892" width="11.44140625" style="8" customWidth="1"/>
    <col min="15893" max="15894" width="10.5546875" style="8" bestFit="1" customWidth="1"/>
    <col min="15895" max="15896" width="11.44140625" style="8" customWidth="1"/>
    <col min="15897" max="15897" width="6.109375" style="8" customWidth="1"/>
    <col min="15898" max="15908" width="11.44140625" style="8" customWidth="1"/>
    <col min="15909" max="16138" width="11.44140625" style="8"/>
    <col min="16139" max="16139" width="5.33203125" style="8" customWidth="1"/>
    <col min="16140" max="16140" width="15.33203125" style="8" customWidth="1"/>
    <col min="16141" max="16141" width="14.44140625" style="8" bestFit="1" customWidth="1"/>
    <col min="16142" max="16142" width="10.44140625" style="8" bestFit="1" customWidth="1"/>
    <col min="16143" max="16143" width="12.33203125" style="8" customWidth="1"/>
    <col min="16144" max="16148" width="11.44140625" style="8" customWidth="1"/>
    <col min="16149" max="16150" width="10.5546875" style="8" bestFit="1" customWidth="1"/>
    <col min="16151" max="16152" width="11.44140625" style="8" customWidth="1"/>
    <col min="16153" max="16153" width="6.109375" style="8" customWidth="1"/>
    <col min="16154" max="16164" width="11.44140625" style="8" customWidth="1"/>
    <col min="16165" max="16384" width="11.44140625" style="8"/>
  </cols>
  <sheetData>
    <row r="1" spans="1:602" s="38" customFormat="1" ht="10.5" customHeight="1" thickBot="1" x14ac:dyDescent="0.35">
      <c r="Q1" s="9"/>
      <c r="AI1" s="323"/>
      <c r="AJ1" s="323"/>
      <c r="AK1" s="323"/>
      <c r="AL1" s="323"/>
      <c r="AM1" s="323"/>
      <c r="AN1" s="323"/>
      <c r="AT1" s="323"/>
      <c r="AU1"/>
      <c r="AV1"/>
      <c r="AW1"/>
      <c r="WD1" s="13"/>
    </row>
    <row r="2" spans="1:602" s="1" customFormat="1" ht="25.2" customHeight="1" thickBot="1" x14ac:dyDescent="0.35">
      <c r="B2" s="86"/>
      <c r="C2" s="390" t="s">
        <v>1408</v>
      </c>
      <c r="D2" s="390"/>
      <c r="E2" s="390"/>
      <c r="F2" s="390"/>
      <c r="G2" s="390"/>
      <c r="H2" s="390"/>
      <c r="I2" s="390"/>
      <c r="J2" s="382"/>
      <c r="K2" s="382"/>
      <c r="L2" s="382"/>
      <c r="M2" s="382"/>
      <c r="N2" s="382"/>
      <c r="O2" s="382"/>
      <c r="P2" s="382"/>
      <c r="Q2" s="382"/>
      <c r="R2" s="382"/>
      <c r="S2" s="382"/>
      <c r="T2" s="87"/>
      <c r="V2" s="38" t="s">
        <v>1024</v>
      </c>
      <c r="W2" s="72">
        <f>SUMIFS(CampList[HH],CampList[Status],"open",CampList[Opening Date],"&gt;=" &amp; NFI_Monitor_Date)</f>
        <v>3333</v>
      </c>
      <c r="X2" s="38"/>
      <c r="Y2" s="38"/>
      <c r="Z2" s="38"/>
      <c r="AA2" s="38"/>
      <c r="AB2" s="38"/>
      <c r="AC2" s="38"/>
      <c r="AD2" s="38"/>
      <c r="AE2" s="38"/>
      <c r="AF2" s="30"/>
      <c r="AG2" s="30"/>
      <c r="AH2" s="30"/>
      <c r="AI2" s="323"/>
      <c r="AJ2" s="323"/>
      <c r="AK2" s="323"/>
      <c r="AL2" s="323"/>
      <c r="AM2" s="323"/>
      <c r="AN2" s="323"/>
      <c r="AO2" s="30"/>
      <c r="AP2" s="30"/>
      <c r="AQ2" s="30"/>
      <c r="AR2" s="30"/>
      <c r="AS2" s="30"/>
      <c r="AT2" s="323"/>
      <c r="AU2"/>
      <c r="AV2"/>
      <c r="AW2"/>
      <c r="AX2" s="562" t="s">
        <v>408</v>
      </c>
      <c r="AY2" s="563" t="s">
        <v>958</v>
      </c>
      <c r="AZ2" s="30"/>
      <c r="BJ2" s="15"/>
      <c r="BK2" s="15"/>
      <c r="WD2" s="184"/>
    </row>
    <row r="3" spans="1:602" s="5" customFormat="1" ht="12.75" customHeight="1" thickBot="1" x14ac:dyDescent="0.35">
      <c r="B3" s="88"/>
      <c r="C3" s="812">
        <f>Definition!B23</f>
        <v>43191</v>
      </c>
      <c r="D3" s="812"/>
      <c r="E3" s="812"/>
      <c r="F3" s="812"/>
      <c r="G3" s="812"/>
      <c r="H3" s="812"/>
      <c r="I3" s="97"/>
      <c r="J3" s="85"/>
      <c r="K3" s="85"/>
      <c r="L3" s="85"/>
      <c r="M3" s="85"/>
      <c r="N3" s="85"/>
      <c r="O3" s="85"/>
      <c r="P3" s="85"/>
      <c r="Q3" s="85"/>
      <c r="R3" s="85"/>
      <c r="S3" s="85"/>
      <c r="T3" s="89"/>
      <c r="V3" s="38" t="s">
        <v>1025</v>
      </c>
      <c r="W3" s="72" t="e">
        <f>SUMIFS(CampList[HH],CampList[Status],"open",#REF!,"P1")</f>
        <v>#REF!</v>
      </c>
      <c r="X3" s="72"/>
      <c r="Y3" s="38"/>
      <c r="Z3" s="38"/>
      <c r="AA3" s="38"/>
      <c r="AB3" s="38"/>
      <c r="AC3" s="38"/>
      <c r="AD3" s="38"/>
      <c r="AE3" s="38"/>
      <c r="AF3" s="30"/>
      <c r="AG3" s="323"/>
      <c r="AH3" s="323"/>
      <c r="AI3" s="323"/>
      <c r="AJ3" s="323"/>
      <c r="AK3" s="323"/>
      <c r="AL3" s="323"/>
      <c r="AM3" s="323"/>
      <c r="AN3" s="323"/>
      <c r="AO3" s="323"/>
      <c r="AP3" s="323"/>
      <c r="AQ3" s="30"/>
      <c r="AR3" s="30"/>
      <c r="AS3" s="30"/>
      <c r="AT3" s="323"/>
      <c r="AU3"/>
      <c r="AV3"/>
      <c r="AW3"/>
      <c r="AX3"/>
      <c r="AY3"/>
      <c r="AZ3"/>
      <c r="BA3"/>
      <c r="BB3"/>
      <c r="BC3"/>
      <c r="BD3"/>
      <c r="BJ3" s="16"/>
      <c r="BK3" s="16"/>
      <c r="WD3" s="185"/>
    </row>
    <row r="4" spans="1:602" s="13" customFormat="1" ht="37.200000000000003" thickBot="1" x14ac:dyDescent="0.75">
      <c r="B4" s="391"/>
      <c r="C4" s="386"/>
      <c r="D4" s="385"/>
      <c r="E4" s="385"/>
      <c r="F4"/>
      <c r="G4"/>
      <c r="H4" s="385"/>
      <c r="I4" s="385"/>
      <c r="J4" s="385"/>
      <c r="K4" s="385"/>
      <c r="L4" s="385"/>
      <c r="M4" s="385"/>
      <c r="N4" s="385"/>
      <c r="O4" s="385"/>
      <c r="P4" s="385"/>
      <c r="Q4" s="387"/>
      <c r="R4" s="385"/>
      <c r="S4" s="385"/>
      <c r="T4" s="392"/>
      <c r="V4" s="13" t="s">
        <v>1220</v>
      </c>
      <c r="AG4" s="323"/>
      <c r="AH4" s="323"/>
      <c r="AI4" s="323"/>
      <c r="AJ4" s="323"/>
      <c r="AK4" s="323"/>
      <c r="AL4" s="323"/>
      <c r="AM4" s="323"/>
      <c r="AN4" s="323"/>
      <c r="AO4" s="323"/>
      <c r="AP4" s="323"/>
      <c r="AU4" s="139" t="s">
        <v>1451</v>
      </c>
      <c r="AV4"/>
      <c r="AW4"/>
      <c r="AX4" s="460" t="s">
        <v>1304</v>
      </c>
      <c r="AY4" s="474" t="s">
        <v>1412</v>
      </c>
      <c r="AZ4"/>
      <c r="BA4"/>
      <c r="BB4"/>
      <c r="BC4"/>
      <c r="BD4"/>
    </row>
    <row r="5" spans="1:602" s="13" customFormat="1" ht="36.6" x14ac:dyDescent="0.7">
      <c r="B5" s="123"/>
      <c r="C5" s="124"/>
      <c r="D5" s="125"/>
      <c r="E5" s="125"/>
      <c r="I5" s="125"/>
      <c r="J5" s="125"/>
      <c r="K5" s="125"/>
      <c r="L5" s="125"/>
      <c r="M5" s="125"/>
      <c r="N5" s="125"/>
      <c r="O5" s="125"/>
      <c r="P5" s="125"/>
      <c r="Q5" s="126"/>
      <c r="R5" s="125"/>
      <c r="S5" s="125"/>
      <c r="T5" s="127"/>
      <c r="AG5" s="323"/>
      <c r="AH5" s="323"/>
      <c r="AI5" s="323"/>
      <c r="AJ5" s="323"/>
      <c r="AK5" s="323"/>
      <c r="AL5" s="323"/>
      <c r="AM5" s="323"/>
      <c r="AN5" s="323"/>
      <c r="AO5" s="323"/>
      <c r="AP5" s="323"/>
      <c r="AU5" s="6" t="s">
        <v>1450</v>
      </c>
      <c r="AV5" s="133">
        <v>440</v>
      </c>
      <c r="AW5"/>
      <c r="AX5" s="724" t="s">
        <v>825</v>
      </c>
      <c r="AY5" s="475">
        <v>11</v>
      </c>
    </row>
    <row r="6" spans="1:602" s="30" customFormat="1" ht="23.25" customHeight="1" thickBot="1" x14ac:dyDescent="0.4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23"/>
      <c r="AH6" s="323"/>
      <c r="AI6" s="323"/>
      <c r="AJ6" s="323"/>
      <c r="AK6" s="323"/>
      <c r="AL6" s="323"/>
      <c r="AM6" s="323"/>
      <c r="AN6" s="323"/>
      <c r="AO6" s="323"/>
      <c r="AP6" s="323"/>
      <c r="AT6" s="323"/>
      <c r="AU6" s="6" t="s">
        <v>1449</v>
      </c>
      <c r="AV6" s="133">
        <v>1196</v>
      </c>
      <c r="AW6"/>
      <c r="AX6" s="725" t="s">
        <v>1264</v>
      </c>
      <c r="AY6" s="476">
        <v>4</v>
      </c>
      <c r="WD6" s="13"/>
    </row>
    <row r="7" spans="1:602" s="30" customFormat="1" x14ac:dyDescent="0.3">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23"/>
      <c r="AH7" s="323"/>
      <c r="AI7" s="323"/>
      <c r="AJ7" s="323"/>
      <c r="AK7" s="323"/>
      <c r="AL7" s="323"/>
      <c r="AM7" s="323"/>
      <c r="AN7" s="323"/>
      <c r="AO7" s="323"/>
      <c r="AP7" s="323"/>
      <c r="AT7" s="323"/>
      <c r="AU7" s="6" t="s">
        <v>1448</v>
      </c>
      <c r="AV7" s="133">
        <v>3440</v>
      </c>
      <c r="AW7"/>
      <c r="AX7" s="493" t="s">
        <v>462</v>
      </c>
      <c r="AY7" s="476">
        <v>4</v>
      </c>
      <c r="WD7" s="13"/>
    </row>
    <row r="8" spans="1:602" ht="15" customHeight="1" x14ac:dyDescent="0.3">
      <c r="B8" s="95"/>
      <c r="C8" s="138"/>
      <c r="D8" s="138"/>
      <c r="E8" s="138"/>
      <c r="I8" s="138"/>
      <c r="J8" s="138"/>
      <c r="K8" s="138"/>
      <c r="L8" s="138"/>
      <c r="M8" s="138"/>
      <c r="N8" s="138"/>
      <c r="O8" s="138"/>
      <c r="P8" s="138"/>
      <c r="Q8" s="138"/>
      <c r="R8" s="138"/>
      <c r="S8" s="138"/>
      <c r="T8" s="93"/>
      <c r="Y8" s="1"/>
      <c r="AG8" s="323"/>
      <c r="AH8" s="323"/>
      <c r="AO8" s="323"/>
      <c r="AP8" s="323"/>
      <c r="AU8" s="6" t="s">
        <v>1447</v>
      </c>
      <c r="AV8" s="133">
        <v>5652</v>
      </c>
      <c r="AW8"/>
      <c r="AX8" s="493" t="s">
        <v>1588</v>
      </c>
      <c r="AY8" s="476">
        <v>11</v>
      </c>
    </row>
    <row r="9" spans="1:602" ht="24" x14ac:dyDescent="0.3">
      <c r="B9" s="95"/>
      <c r="C9" s="398"/>
      <c r="D9" s="399"/>
      <c r="E9" s="400"/>
      <c r="I9" s="399"/>
      <c r="J9" s="400"/>
      <c r="K9" s="138"/>
      <c r="L9" s="398"/>
      <c r="M9" s="399"/>
      <c r="N9" s="400"/>
      <c r="O9" s="399"/>
      <c r="P9" s="399"/>
      <c r="Q9" s="399"/>
      <c r="R9" s="399"/>
      <c r="S9" s="400"/>
      <c r="T9" s="93"/>
      <c r="W9" s="14"/>
      <c r="X9" s="1"/>
      <c r="Y9" s="95"/>
      <c r="Z9" s="129" t="s">
        <v>765</v>
      </c>
      <c r="AA9" s="129" t="s">
        <v>766</v>
      </c>
      <c r="AB9" s="43" t="s">
        <v>767</v>
      </c>
      <c r="AC9" s="43" t="s">
        <v>768</v>
      </c>
      <c r="AD9" s="44" t="s">
        <v>769</v>
      </c>
      <c r="AE9" s="44" t="s">
        <v>770</v>
      </c>
      <c r="AF9" s="93"/>
      <c r="AG9" s="323"/>
      <c r="AH9" s="323"/>
      <c r="AO9" s="323"/>
      <c r="AP9" s="323"/>
      <c r="AU9" s="6" t="s">
        <v>1446</v>
      </c>
      <c r="AV9" s="133">
        <v>2417</v>
      </c>
      <c r="AW9"/>
      <c r="AX9" s="493" t="s">
        <v>1089</v>
      </c>
      <c r="AY9" s="476">
        <v>2</v>
      </c>
    </row>
    <row r="10" spans="1:602" x14ac:dyDescent="0.3">
      <c r="B10" s="95"/>
      <c r="C10" s="388"/>
      <c r="D10" s="401"/>
      <c r="E10" s="389"/>
      <c r="I10" s="403"/>
      <c r="J10" s="403"/>
      <c r="K10" s="138"/>
      <c r="L10" s="388"/>
      <c r="M10" s="401"/>
      <c r="N10" s="389"/>
      <c r="O10" s="402"/>
      <c r="P10" s="403"/>
      <c r="Q10" s="402"/>
      <c r="R10" s="403"/>
      <c r="S10" s="403"/>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23"/>
      <c r="AH10" s="323"/>
      <c r="AO10" s="323"/>
      <c r="AP10" s="323"/>
      <c r="AU10" s="6" t="s">
        <v>1445</v>
      </c>
      <c r="AV10" s="133">
        <v>10374</v>
      </c>
      <c r="AW10"/>
      <c r="AX10" s="493" t="s">
        <v>1474</v>
      </c>
      <c r="AY10" s="476">
        <v>33</v>
      </c>
    </row>
    <row r="11" spans="1:602" ht="15" customHeight="1" x14ac:dyDescent="0.3">
      <c r="B11" s="95"/>
      <c r="C11" s="388"/>
      <c r="D11" s="401"/>
      <c r="E11" s="389"/>
      <c r="I11" s="403"/>
      <c r="J11" s="403"/>
      <c r="K11" s="138"/>
      <c r="L11" s="813"/>
      <c r="M11" s="814"/>
      <c r="N11" s="815"/>
      <c r="O11" s="818"/>
      <c r="P11" s="816"/>
      <c r="Q11" s="818"/>
      <c r="R11" s="817"/>
      <c r="S11" s="816"/>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23"/>
      <c r="AH11" s="323"/>
      <c r="AO11" s="323"/>
      <c r="AP11" s="323"/>
      <c r="AU11" s="6" t="s">
        <v>1444</v>
      </c>
      <c r="AV11" s="133">
        <v>2803</v>
      </c>
      <c r="AW11"/>
      <c r="AX11" s="493" t="s">
        <v>424</v>
      </c>
      <c r="AY11" s="476">
        <v>1</v>
      </c>
    </row>
    <row r="12" spans="1:602" x14ac:dyDescent="0.3">
      <c r="B12" s="95"/>
      <c r="C12" s="388"/>
      <c r="D12" s="401"/>
      <c r="E12" s="389"/>
      <c r="I12" s="403"/>
      <c r="J12" s="403"/>
      <c r="K12" s="138"/>
      <c r="L12" s="813"/>
      <c r="M12" s="814"/>
      <c r="N12" s="815"/>
      <c r="O12" s="818"/>
      <c r="P12" s="816"/>
      <c r="Q12" s="818"/>
      <c r="R12" s="817"/>
      <c r="S12" s="816"/>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23"/>
      <c r="AH12" s="323"/>
      <c r="AO12" s="323"/>
      <c r="AP12" s="323"/>
      <c r="AU12" s="6" t="s">
        <v>1443</v>
      </c>
      <c r="AV12" s="133">
        <v>1641</v>
      </c>
      <c r="AW12"/>
      <c r="AX12" s="461" t="s">
        <v>411</v>
      </c>
      <c r="AY12" s="462">
        <v>66</v>
      </c>
    </row>
    <row r="13" spans="1:602" ht="15" customHeight="1" x14ac:dyDescent="0.3">
      <c r="B13" s="95"/>
      <c r="C13" s="388"/>
      <c r="D13" s="401"/>
      <c r="E13" s="389"/>
      <c r="I13" s="403"/>
      <c r="J13" s="403"/>
      <c r="K13" s="138"/>
      <c r="L13" s="388"/>
      <c r="M13" s="401"/>
      <c r="N13" s="389"/>
      <c r="O13" s="402"/>
      <c r="P13" s="403"/>
      <c r="Q13" s="402"/>
      <c r="R13" s="403"/>
      <c r="S13" s="403"/>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23"/>
      <c r="AH13" s="323"/>
      <c r="AO13" s="323"/>
      <c r="AP13" s="323"/>
      <c r="AU13" s="6" t="s">
        <v>1442</v>
      </c>
      <c r="AV13" s="133">
        <v>4592</v>
      </c>
      <c r="AW13"/>
      <c r="AX13"/>
      <c r="AY13"/>
    </row>
    <row r="14" spans="1:602" ht="15" customHeight="1" x14ac:dyDescent="0.3">
      <c r="B14" s="95"/>
      <c r="C14" s="388"/>
      <c r="D14" s="401"/>
      <c r="E14" s="389"/>
      <c r="I14" s="403"/>
      <c r="J14" s="403"/>
      <c r="K14" s="138"/>
      <c r="L14" s="138"/>
      <c r="M14" s="138"/>
      <c r="N14" s="138"/>
      <c r="O14" s="138"/>
      <c r="P14" s="138"/>
      <c r="Q14" s="138"/>
      <c r="R14" s="138"/>
      <c r="S14" s="138"/>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23"/>
      <c r="AH14" s="323"/>
      <c r="AO14" s="323"/>
      <c r="AP14" s="323"/>
      <c r="AU14" s="6" t="s">
        <v>1441</v>
      </c>
      <c r="AV14" s="133">
        <v>726</v>
      </c>
      <c r="AW14"/>
      <c r="AX14"/>
      <c r="AY14"/>
    </row>
    <row r="15" spans="1:602" ht="15" customHeight="1" x14ac:dyDescent="0.3">
      <c r="B15" s="95"/>
      <c r="C15" s="388"/>
      <c r="D15" s="401"/>
      <c r="E15" s="389"/>
      <c r="I15" s="403"/>
      <c r="J15" s="403"/>
      <c r="K15" s="138"/>
      <c r="L15" s="138"/>
      <c r="M15" s="138"/>
      <c r="N15" s="138"/>
      <c r="O15" s="138"/>
      <c r="P15" s="138"/>
      <c r="Q15" s="138"/>
      <c r="R15" s="138"/>
      <c r="S15" s="138"/>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23"/>
      <c r="AH15" s="323"/>
      <c r="AO15" s="323"/>
      <c r="AP15" s="323"/>
      <c r="AU15"/>
      <c r="AV15"/>
      <c r="AW15"/>
      <c r="AX15"/>
      <c r="AY15"/>
    </row>
    <row r="16" spans="1:602" ht="13.5" customHeight="1" x14ac:dyDescent="0.3">
      <c r="B16" s="95"/>
      <c r="C16" s="388"/>
      <c r="D16" s="401"/>
      <c r="E16" s="389"/>
      <c r="F16"/>
      <c r="G16"/>
      <c r="H16"/>
      <c r="I16" s="403"/>
      <c r="J16" s="403"/>
      <c r="K16" s="138"/>
      <c r="L16" s="138"/>
      <c r="M16" s="138"/>
      <c r="N16" s="138"/>
      <c r="O16" s="138"/>
      <c r="P16" s="138"/>
      <c r="Q16" s="138"/>
      <c r="R16" s="138"/>
      <c r="S16" s="138"/>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23"/>
      <c r="AH16" s="323"/>
      <c r="AO16" s="323"/>
      <c r="AP16" s="323"/>
      <c r="AU16" s="139" t="s">
        <v>1675</v>
      </c>
      <c r="AV16" s="323" t="s">
        <v>537</v>
      </c>
      <c r="AW16"/>
      <c r="AX16"/>
      <c r="AY16"/>
    </row>
    <row r="17" spans="2:602" s="38" customFormat="1" ht="14.25" customHeight="1" x14ac:dyDescent="0.3">
      <c r="B17" s="95"/>
      <c r="C17" s="138"/>
      <c r="D17" s="138"/>
      <c r="E17" s="138"/>
      <c r="F17"/>
      <c r="G17"/>
      <c r="H17"/>
      <c r="I17" s="138"/>
      <c r="J17" s="138"/>
      <c r="K17" s="138"/>
      <c r="L17" s="138"/>
      <c r="M17" s="138"/>
      <c r="N17" s="138"/>
      <c r="O17" s="138"/>
      <c r="P17" s="138"/>
      <c r="Q17" s="138"/>
      <c r="R17" s="138"/>
      <c r="S17" s="138"/>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23"/>
      <c r="AH17" s="323"/>
      <c r="AI17" s="323"/>
      <c r="AJ17" s="323"/>
      <c r="AK17" s="323"/>
      <c r="AL17" s="323"/>
      <c r="AM17" s="323"/>
      <c r="AN17" s="323"/>
      <c r="AO17" s="323"/>
      <c r="AP17" s="323"/>
      <c r="AT17" s="323"/>
      <c r="AU17"/>
      <c r="AV17"/>
      <c r="AW17"/>
      <c r="AX17"/>
      <c r="AY17"/>
      <c r="WD17" s="13"/>
    </row>
    <row r="18" spans="2:602" s="38" customFormat="1" x14ac:dyDescent="0.3">
      <c r="B18" s="95"/>
      <c r="C18" s="138"/>
      <c r="D18" s="138"/>
      <c r="E18" s="138"/>
      <c r="F18"/>
      <c r="G18"/>
      <c r="H18"/>
      <c r="I18" s="138"/>
      <c r="J18" s="138"/>
      <c r="K18" s="138"/>
      <c r="L18" s="138"/>
      <c r="M18" s="138"/>
      <c r="N18" s="138"/>
      <c r="O18" s="138"/>
      <c r="P18" s="138"/>
      <c r="Q18" s="138"/>
      <c r="R18" s="138"/>
      <c r="S18" s="138"/>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23"/>
      <c r="AH18" s="323"/>
      <c r="AI18" s="323"/>
      <c r="AJ18" s="323"/>
      <c r="AK18" s="323"/>
      <c r="AL18" s="323"/>
      <c r="AM18" s="323"/>
      <c r="AN18" s="323"/>
      <c r="AO18" s="323"/>
      <c r="AP18" s="323"/>
      <c r="AT18" s="323"/>
      <c r="AU18" s="139" t="s">
        <v>410</v>
      </c>
      <c r="AV18" t="s">
        <v>1452</v>
      </c>
      <c r="AW18"/>
      <c r="AX18"/>
      <c r="AY18"/>
      <c r="WD18" s="13"/>
    </row>
    <row r="19" spans="2:602" x14ac:dyDescent="0.3">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23"/>
      <c r="AH19" s="323"/>
      <c r="AO19" s="323"/>
      <c r="AP19" s="323"/>
      <c r="AU19" s="6" t="s">
        <v>5</v>
      </c>
      <c r="AV19" s="133">
        <v>21</v>
      </c>
      <c r="AW19"/>
      <c r="AX19"/>
      <c r="AY19"/>
    </row>
    <row r="20" spans="2:602" ht="12.75" customHeight="1" thickBot="1" x14ac:dyDescent="0.35">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23"/>
      <c r="AH20" s="323"/>
      <c r="AO20" s="323"/>
      <c r="AP20" s="323"/>
      <c r="AU20" s="6" t="s">
        <v>27</v>
      </c>
      <c r="AV20" s="133">
        <v>8</v>
      </c>
      <c r="AW20"/>
    </row>
    <row r="21" spans="2:602" ht="12.75" customHeight="1" x14ac:dyDescent="0.3">
      <c r="B21" s="95"/>
      <c r="C21" s="10"/>
      <c r="D21" s="10"/>
      <c r="E21" s="10"/>
      <c r="F21"/>
      <c r="G21"/>
      <c r="H21"/>
      <c r="I21" s="10"/>
      <c r="J21" s="10"/>
      <c r="K21" s="10"/>
      <c r="L21" s="10"/>
      <c r="M21" s="10"/>
      <c r="N21" s="10"/>
      <c r="O21" s="10"/>
      <c r="P21" s="10"/>
      <c r="Q21" s="10"/>
      <c r="R21" s="10"/>
      <c r="S21" s="10"/>
      <c r="T21" s="93"/>
      <c r="Y21" s="1"/>
      <c r="AG21" s="323"/>
      <c r="AH21" s="323"/>
      <c r="AO21" s="323"/>
      <c r="AP21" s="323"/>
      <c r="AU21" s="6" t="s">
        <v>480</v>
      </c>
      <c r="AV21" s="133">
        <v>5</v>
      </c>
      <c r="AW21"/>
    </row>
    <row r="22" spans="2:602" ht="12.75" customHeight="1" x14ac:dyDescent="0.3">
      <c r="B22" s="95"/>
      <c r="C22" s="10"/>
      <c r="D22" s="10"/>
      <c r="E22" s="10"/>
      <c r="F22"/>
      <c r="G22"/>
      <c r="H22"/>
      <c r="I22" s="10"/>
      <c r="J22" s="10"/>
      <c r="K22" s="10"/>
      <c r="L22" s="10"/>
      <c r="M22" s="10"/>
      <c r="N22" s="10"/>
      <c r="O22" s="10"/>
      <c r="P22" s="10"/>
      <c r="Q22" s="10"/>
      <c r="R22" s="10"/>
      <c r="S22" s="10"/>
      <c r="T22" s="93"/>
      <c r="Y22" s="1"/>
      <c r="AG22" s="323"/>
      <c r="AH22" s="323"/>
      <c r="AO22" s="323"/>
      <c r="AP22" s="323"/>
      <c r="AU22" s="6" t="s">
        <v>719</v>
      </c>
      <c r="AV22" s="133">
        <v>3</v>
      </c>
      <c r="AW22"/>
    </row>
    <row r="23" spans="2:602" s="323" customFormat="1" ht="12.75" customHeight="1" x14ac:dyDescent="0.3">
      <c r="B23" s="95"/>
      <c r="C23" s="10"/>
      <c r="D23" s="10"/>
      <c r="E23" s="10"/>
      <c r="F23"/>
      <c r="G23"/>
      <c r="H23"/>
      <c r="I23" s="10"/>
      <c r="J23" s="10"/>
      <c r="K23" s="10"/>
      <c r="L23" s="10"/>
      <c r="M23" s="10"/>
      <c r="N23" s="10"/>
      <c r="O23" s="10"/>
      <c r="P23" s="10"/>
      <c r="Q23" s="10"/>
      <c r="R23" s="10"/>
      <c r="S23" s="10"/>
      <c r="T23" s="93"/>
      <c r="Y23" s="132"/>
      <c r="AU23" s="6" t="s">
        <v>146</v>
      </c>
      <c r="AV23" s="133">
        <v>5</v>
      </c>
      <c r="AW23"/>
      <c r="WD23" s="13"/>
    </row>
    <row r="24" spans="2:602" s="323" customFormat="1" ht="12.75" customHeight="1" x14ac:dyDescent="0.3">
      <c r="B24" s="95"/>
      <c r="C24" s="10"/>
      <c r="D24" s="10"/>
      <c r="E24" s="10"/>
      <c r="I24" s="10"/>
      <c r="J24" s="10"/>
      <c r="K24" s="10"/>
      <c r="L24" s="10"/>
      <c r="M24" s="10"/>
      <c r="N24" s="10"/>
      <c r="O24" s="10"/>
      <c r="P24" s="10"/>
      <c r="Q24" s="10"/>
      <c r="R24" s="10"/>
      <c r="S24" s="10"/>
      <c r="T24" s="93"/>
      <c r="Y24" s="132"/>
      <c r="AU24" s="6" t="s">
        <v>151</v>
      </c>
      <c r="AV24" s="133">
        <v>31</v>
      </c>
      <c r="AW24"/>
      <c r="WD24" s="13"/>
    </row>
    <row r="25" spans="2:602" s="323" customFormat="1" ht="12.75" customHeight="1" x14ac:dyDescent="0.3">
      <c r="B25" s="95"/>
      <c r="C25" s="10"/>
      <c r="D25" s="10"/>
      <c r="E25" s="10"/>
      <c r="I25" s="10"/>
      <c r="J25" s="10"/>
      <c r="K25" s="10"/>
      <c r="L25" s="10"/>
      <c r="M25" s="10"/>
      <c r="N25" s="10"/>
      <c r="O25" s="10"/>
      <c r="P25" s="10"/>
      <c r="Q25" s="10"/>
      <c r="R25" s="10"/>
      <c r="S25" s="10"/>
      <c r="T25" s="93"/>
      <c r="Y25" s="132"/>
      <c r="AU25" s="6" t="s">
        <v>237</v>
      </c>
      <c r="AV25" s="133">
        <v>52</v>
      </c>
      <c r="AW25"/>
      <c r="WD25" s="13"/>
    </row>
    <row r="26" spans="2:602" s="323" customFormat="1" ht="12.75" customHeight="1" x14ac:dyDescent="0.3">
      <c r="B26" s="95"/>
      <c r="C26" s="10"/>
      <c r="D26" s="10"/>
      <c r="E26" s="10"/>
      <c r="F26" s="404"/>
      <c r="G26" s="404"/>
      <c r="H26" s="381"/>
      <c r="I26" s="10"/>
      <c r="J26" s="10"/>
      <c r="K26" s="10"/>
      <c r="L26" s="10"/>
      <c r="M26" s="10"/>
      <c r="N26" s="10"/>
      <c r="O26" s="10"/>
      <c r="P26" s="10"/>
      <c r="Q26" s="10"/>
      <c r="R26" s="10"/>
      <c r="S26" s="10"/>
      <c r="T26" s="93"/>
      <c r="Y26" s="132"/>
      <c r="AU26" s="6" t="s">
        <v>297</v>
      </c>
      <c r="AV26" s="133">
        <v>33</v>
      </c>
      <c r="AW26"/>
      <c r="WD26" s="13"/>
    </row>
    <row r="27" spans="2:602" s="323" customFormat="1" ht="12.75" customHeight="1" x14ac:dyDescent="0.3">
      <c r="B27" s="95"/>
      <c r="C27" s="10"/>
      <c r="D27" s="10"/>
      <c r="E27" s="10"/>
      <c r="F27" s="404"/>
      <c r="G27" s="404"/>
      <c r="H27" s="381"/>
      <c r="I27" s="10"/>
      <c r="J27" s="10"/>
      <c r="K27" s="10"/>
      <c r="L27" s="10"/>
      <c r="M27" s="10"/>
      <c r="N27" s="10"/>
      <c r="O27" s="10"/>
      <c r="P27" s="10"/>
      <c r="Q27" s="10"/>
      <c r="R27" s="10"/>
      <c r="S27" s="10"/>
      <c r="T27" s="93"/>
      <c r="Y27" s="132"/>
      <c r="AU27" s="6" t="s">
        <v>301</v>
      </c>
      <c r="AV27" s="133">
        <v>8</v>
      </c>
      <c r="AW27"/>
      <c r="WD27" s="13"/>
    </row>
    <row r="28" spans="2:602" s="323" customFormat="1" ht="12.75" customHeight="1" x14ac:dyDescent="0.3">
      <c r="B28" s="95"/>
      <c r="C28" s="10"/>
      <c r="D28" s="10"/>
      <c r="E28" s="10"/>
      <c r="F28" s="404"/>
      <c r="G28" s="404"/>
      <c r="H28" s="381"/>
      <c r="I28" s="10"/>
      <c r="J28" s="10"/>
      <c r="K28" s="10"/>
      <c r="L28" s="10"/>
      <c r="M28" s="10"/>
      <c r="N28" s="10"/>
      <c r="O28" s="10"/>
      <c r="P28" s="10"/>
      <c r="Q28" s="10"/>
      <c r="R28" s="10"/>
      <c r="S28" s="10"/>
      <c r="T28" s="93"/>
      <c r="Y28" s="132"/>
      <c r="AU28" s="6" t="s">
        <v>746</v>
      </c>
      <c r="AV28" s="133">
        <v>2</v>
      </c>
      <c r="AW28"/>
      <c r="WD28" s="13"/>
    </row>
    <row r="29" spans="2:602" s="323" customFormat="1" ht="12.75" customHeight="1" x14ac:dyDescent="0.3">
      <c r="B29" s="95"/>
      <c r="C29" s="10"/>
      <c r="D29" s="10"/>
      <c r="E29" s="10"/>
      <c r="I29" s="10"/>
      <c r="J29" s="10"/>
      <c r="K29" s="10"/>
      <c r="L29" s="10"/>
      <c r="M29" s="10"/>
      <c r="N29" s="10"/>
      <c r="O29" s="10"/>
      <c r="P29" s="10"/>
      <c r="Q29" s="10"/>
      <c r="R29" s="10"/>
      <c r="S29" s="10"/>
      <c r="T29" s="93"/>
      <c r="Y29" s="132"/>
      <c r="AU29" s="6" t="s">
        <v>1137</v>
      </c>
      <c r="AV29" s="133">
        <v>6</v>
      </c>
      <c r="AW29"/>
      <c r="WD29" s="13"/>
    </row>
    <row r="30" spans="2:602" s="323" customFormat="1" x14ac:dyDescent="0.3">
      <c r="B30" s="95"/>
      <c r="C30" s="10"/>
      <c r="D30" s="10"/>
      <c r="E30" s="10"/>
      <c r="I30" s="10"/>
      <c r="J30" s="10"/>
      <c r="K30" s="10"/>
      <c r="L30" s="10"/>
      <c r="M30" s="10"/>
      <c r="N30" s="10"/>
      <c r="O30" s="10"/>
      <c r="P30" s="10"/>
      <c r="Q30" s="10"/>
      <c r="R30" s="10"/>
      <c r="S30" s="10"/>
      <c r="T30" s="93"/>
      <c r="Y30" s="132"/>
      <c r="AU30" s="6" t="s">
        <v>309</v>
      </c>
      <c r="AV30" s="133">
        <v>39</v>
      </c>
      <c r="AW30"/>
      <c r="WD30" s="13"/>
    </row>
    <row r="31" spans="2:602" s="323" customFormat="1" ht="12.75" customHeight="1" x14ac:dyDescent="0.3">
      <c r="B31" s="95"/>
      <c r="C31" s="10"/>
      <c r="D31" s="10"/>
      <c r="E31" s="10"/>
      <c r="I31" s="10"/>
      <c r="J31" s="10"/>
      <c r="K31" s="10"/>
      <c r="L31" s="10"/>
      <c r="M31" s="10"/>
      <c r="N31" s="10"/>
      <c r="O31" s="10"/>
      <c r="P31" s="10"/>
      <c r="Q31" s="10"/>
      <c r="R31" s="10"/>
      <c r="S31" s="10"/>
      <c r="T31" s="93"/>
      <c r="Y31" s="132"/>
      <c r="AU31" s="6" t="s">
        <v>180</v>
      </c>
      <c r="AV31" s="133">
        <v>3</v>
      </c>
      <c r="AW31"/>
      <c r="WD31" s="13"/>
    </row>
    <row r="32" spans="2:602" s="323" customFormat="1" ht="12.75" customHeight="1" x14ac:dyDescent="0.3">
      <c r="B32" s="95"/>
      <c r="C32" s="10"/>
      <c r="D32" s="10"/>
      <c r="E32" s="10"/>
      <c r="F32" s="10"/>
      <c r="G32" s="10"/>
      <c r="H32" s="10"/>
      <c r="I32" s="10"/>
      <c r="J32" s="10"/>
      <c r="K32" s="10"/>
      <c r="L32" s="10"/>
      <c r="M32" s="10"/>
      <c r="N32" s="10"/>
      <c r="O32" s="10"/>
      <c r="P32" s="10"/>
      <c r="Q32" s="10"/>
      <c r="R32" s="10"/>
      <c r="S32" s="10"/>
      <c r="T32" s="93"/>
      <c r="Y32" s="132"/>
      <c r="AU32" s="6" t="s">
        <v>1589</v>
      </c>
      <c r="AV32" s="133">
        <v>2</v>
      </c>
      <c r="AW32"/>
      <c r="WD32" s="13"/>
    </row>
    <row r="33" spans="2:602" s="323" customFormat="1" x14ac:dyDescent="0.3">
      <c r="B33" s="95"/>
      <c r="C33" s="10"/>
      <c r="D33" s="10"/>
      <c r="E33" s="10"/>
      <c r="F33" s="10"/>
      <c r="G33" s="10"/>
      <c r="H33" s="10"/>
      <c r="I33" s="10"/>
      <c r="J33" s="10"/>
      <c r="K33" s="10"/>
      <c r="L33" s="10"/>
      <c r="M33" s="10"/>
      <c r="N33" s="10"/>
      <c r="O33" s="10"/>
      <c r="P33" s="10"/>
      <c r="Q33" s="10"/>
      <c r="R33" s="10"/>
      <c r="S33" s="10"/>
      <c r="T33" s="93"/>
      <c r="Y33" s="132"/>
      <c r="AU33" s="6" t="s">
        <v>1594</v>
      </c>
      <c r="AV33" s="133">
        <v>13</v>
      </c>
      <c r="AW33" s="30"/>
      <c r="WD33" s="13"/>
    </row>
    <row r="34" spans="2:602" s="323" customFormat="1" x14ac:dyDescent="0.3">
      <c r="B34" s="95"/>
      <c r="F34" s="10"/>
      <c r="G34" s="10"/>
      <c r="H34" s="10"/>
      <c r="I34" s="10"/>
      <c r="J34" s="10"/>
      <c r="K34" s="10"/>
      <c r="L34" s="10"/>
      <c r="M34" s="10"/>
      <c r="N34" s="10"/>
      <c r="O34" s="10"/>
      <c r="P34" s="10"/>
      <c r="Q34" s="10"/>
      <c r="R34" s="10"/>
      <c r="S34" s="10"/>
      <c r="T34" s="93"/>
      <c r="Y34" s="132"/>
      <c r="AU34" s="6" t="s">
        <v>494</v>
      </c>
      <c r="AV34" s="133">
        <v>8</v>
      </c>
      <c r="AW34"/>
      <c r="WD34" s="13"/>
    </row>
    <row r="35" spans="2:602" s="323" customFormat="1" x14ac:dyDescent="0.3">
      <c r="B35" s="95"/>
      <c r="F35" s="10"/>
      <c r="G35" s="10"/>
      <c r="H35" s="10"/>
      <c r="I35" s="10"/>
      <c r="J35" s="10"/>
      <c r="K35" s="10"/>
      <c r="L35" s="10"/>
      <c r="M35" s="10"/>
      <c r="N35" s="10"/>
      <c r="O35" s="10"/>
      <c r="P35" s="10"/>
      <c r="Q35" s="10"/>
      <c r="R35" s="10"/>
      <c r="S35" s="10"/>
      <c r="T35" s="93"/>
      <c r="Y35" s="132"/>
      <c r="AU35" s="6" t="s">
        <v>185</v>
      </c>
      <c r="AV35" s="133">
        <v>17</v>
      </c>
      <c r="AW35"/>
      <c r="WD35" s="13"/>
    </row>
    <row r="36" spans="2:602" s="323" customFormat="1" x14ac:dyDescent="0.3">
      <c r="B36" s="95"/>
      <c r="F36" s="10"/>
      <c r="G36" s="10"/>
      <c r="H36" s="10"/>
      <c r="I36" s="10"/>
      <c r="J36" s="10"/>
      <c r="K36" s="10"/>
      <c r="L36" s="10"/>
      <c r="M36" s="10"/>
      <c r="N36" s="10"/>
      <c r="O36" s="10"/>
      <c r="P36" s="10"/>
      <c r="Q36" s="10"/>
      <c r="R36" s="10"/>
      <c r="S36" s="10"/>
      <c r="T36" s="93"/>
      <c r="Y36" s="132"/>
      <c r="AU36" s="6" t="s">
        <v>1802</v>
      </c>
      <c r="AV36" s="133">
        <v>4</v>
      </c>
      <c r="AW36"/>
      <c r="WD36" s="13"/>
    </row>
    <row r="37" spans="2:602" s="323" customFormat="1" x14ac:dyDescent="0.3">
      <c r="B37" s="95"/>
      <c r="F37" s="10"/>
      <c r="G37" s="10"/>
      <c r="H37" s="10"/>
      <c r="I37" s="10"/>
      <c r="J37" s="10"/>
      <c r="K37" s="10"/>
      <c r="L37" s="10"/>
      <c r="M37" s="10"/>
      <c r="N37" s="10"/>
      <c r="O37" s="10"/>
      <c r="P37" s="10"/>
      <c r="Q37" s="10"/>
      <c r="R37" s="10"/>
      <c r="S37" s="10"/>
      <c r="T37" s="93"/>
      <c r="Y37" s="132"/>
      <c r="AU37" s="6" t="s">
        <v>1805</v>
      </c>
      <c r="AV37" s="133">
        <v>11</v>
      </c>
      <c r="AW37"/>
      <c r="WD37" s="13"/>
    </row>
    <row r="38" spans="2:602" s="323" customFormat="1" x14ac:dyDescent="0.3">
      <c r="B38" s="95"/>
      <c r="F38" s="10"/>
      <c r="G38" s="10"/>
      <c r="H38" s="10"/>
      <c r="I38" s="10"/>
      <c r="J38" s="10"/>
      <c r="K38" s="10"/>
      <c r="L38" s="10"/>
      <c r="M38" s="10"/>
      <c r="N38" s="10"/>
      <c r="O38" s="10"/>
      <c r="P38" s="10"/>
      <c r="Q38" s="10"/>
      <c r="R38" s="10"/>
      <c r="S38" s="10"/>
      <c r="T38" s="93"/>
      <c r="Y38" s="132"/>
      <c r="AR38" s="465"/>
      <c r="AU38" s="6" t="s">
        <v>1806</v>
      </c>
      <c r="AV38" s="133">
        <v>1</v>
      </c>
      <c r="AW38"/>
      <c r="WD38" s="13"/>
    </row>
    <row r="39" spans="2:602" s="323" customFormat="1" x14ac:dyDescent="0.3">
      <c r="B39" s="95"/>
      <c r="F39" s="10"/>
      <c r="G39" s="10"/>
      <c r="H39" s="10"/>
      <c r="I39" s="10"/>
      <c r="J39" s="10"/>
      <c r="K39" s="10"/>
      <c r="L39" s="10"/>
      <c r="M39" s="10"/>
      <c r="N39" s="10"/>
      <c r="O39" s="10"/>
      <c r="P39" s="10"/>
      <c r="Q39" s="10"/>
      <c r="R39" s="10"/>
      <c r="S39" s="10"/>
      <c r="T39" s="93"/>
      <c r="Y39" s="132"/>
      <c r="AR39" s="13">
        <f>COUNTIF(AV41:AV54,"&gt;5/1/2017")</f>
        <v>0</v>
      </c>
      <c r="AU39" s="6" t="s">
        <v>1807</v>
      </c>
      <c r="AV39" s="133">
        <v>1</v>
      </c>
      <c r="AW39"/>
      <c r="WD39" s="13"/>
    </row>
    <row r="40" spans="2:602" s="323" customFormat="1" x14ac:dyDescent="0.3">
      <c r="B40" s="95"/>
      <c r="F40" s="10"/>
      <c r="G40" s="10"/>
      <c r="H40" s="10"/>
      <c r="I40" s="10"/>
      <c r="J40" s="10"/>
      <c r="K40" s="10"/>
      <c r="L40" s="10"/>
      <c r="M40" s="10"/>
      <c r="N40" s="10"/>
      <c r="O40" s="10"/>
      <c r="P40" s="10"/>
      <c r="Q40" s="10"/>
      <c r="R40" s="10"/>
      <c r="S40" s="10"/>
      <c r="T40" s="93"/>
      <c r="Y40" s="132"/>
      <c r="AU40" s="6" t="s">
        <v>288</v>
      </c>
      <c r="AV40" s="133">
        <v>2</v>
      </c>
      <c r="AW40"/>
      <c r="WD40" s="13"/>
    </row>
    <row r="41" spans="2:602" s="323" customFormat="1" x14ac:dyDescent="0.3">
      <c r="B41" s="95"/>
      <c r="F41" s="10"/>
      <c r="G41" s="10"/>
      <c r="H41" s="10"/>
      <c r="I41" s="10"/>
      <c r="J41" s="10"/>
      <c r="K41" s="10"/>
      <c r="L41" s="10"/>
      <c r="M41" s="10"/>
      <c r="N41" s="10"/>
      <c r="O41" s="10"/>
      <c r="P41" s="10"/>
      <c r="Q41" s="10"/>
      <c r="R41" s="10"/>
      <c r="S41" s="10"/>
      <c r="T41" s="93"/>
      <c r="Y41" s="132"/>
      <c r="AU41" s="6" t="s">
        <v>411</v>
      </c>
      <c r="AV41" s="133">
        <v>275</v>
      </c>
      <c r="WD41" s="13"/>
    </row>
    <row r="42" spans="2:602" s="323" customFormat="1" x14ac:dyDescent="0.3">
      <c r="B42" s="95"/>
      <c r="F42" s="10"/>
      <c r="G42" s="10"/>
      <c r="H42" s="10"/>
      <c r="I42" s="10"/>
      <c r="J42" s="10"/>
      <c r="K42" s="10"/>
      <c r="L42" s="10"/>
      <c r="M42" s="10"/>
      <c r="N42" s="10"/>
      <c r="O42" s="10"/>
      <c r="P42" s="10"/>
      <c r="Q42" s="10"/>
      <c r="R42" s="10"/>
      <c r="S42" s="10"/>
      <c r="T42" s="93"/>
      <c r="Y42" s="132"/>
      <c r="AU42"/>
      <c r="AV42"/>
      <c r="WD42" s="13"/>
    </row>
    <row r="43" spans="2:602" s="323" customFormat="1" x14ac:dyDescent="0.3">
      <c r="B43" s="95"/>
      <c r="F43" s="10"/>
      <c r="G43" s="10"/>
      <c r="H43" s="10"/>
      <c r="I43" s="10"/>
      <c r="J43" s="10"/>
      <c r="K43" s="10"/>
      <c r="L43" s="10"/>
      <c r="M43" s="10"/>
      <c r="N43" s="10"/>
      <c r="O43" s="10"/>
      <c r="P43" s="10"/>
      <c r="Q43" s="10"/>
      <c r="R43" s="10"/>
      <c r="S43" s="10"/>
      <c r="T43" s="93"/>
      <c r="Y43" s="132"/>
      <c r="AU43"/>
      <c r="AV43"/>
      <c r="WD43" s="13"/>
    </row>
    <row r="44" spans="2:602" s="323" customFormat="1" x14ac:dyDescent="0.3">
      <c r="B44" s="95"/>
      <c r="F44" s="10"/>
      <c r="G44" s="10"/>
      <c r="H44" s="10"/>
      <c r="I44" s="10"/>
      <c r="J44" s="10"/>
      <c r="K44" s="10"/>
      <c r="L44" s="10"/>
      <c r="M44" s="10"/>
      <c r="N44" s="10"/>
      <c r="O44" s="10"/>
      <c r="P44" s="10"/>
      <c r="Q44" s="10"/>
      <c r="R44" s="10"/>
      <c r="S44" s="10"/>
      <c r="T44" s="93"/>
      <c r="Y44" s="132"/>
      <c r="AU44"/>
      <c r="AV44"/>
      <c r="WD44" s="13"/>
    </row>
    <row r="45" spans="2:602" s="323" customFormat="1" x14ac:dyDescent="0.3">
      <c r="B45" s="95"/>
      <c r="C45" s="10"/>
      <c r="D45" s="10"/>
      <c r="E45" s="10"/>
      <c r="F45" s="10"/>
      <c r="G45" s="10"/>
      <c r="H45" s="10"/>
      <c r="I45" s="10"/>
      <c r="J45" s="10"/>
      <c r="K45" s="10"/>
      <c r="L45" s="10"/>
      <c r="M45" s="10"/>
      <c r="N45" s="10"/>
      <c r="O45" s="10"/>
      <c r="P45" s="10"/>
      <c r="Q45" s="10"/>
      <c r="R45" s="10"/>
      <c r="S45" s="10"/>
      <c r="T45" s="93"/>
      <c r="Y45" s="132"/>
      <c r="AU45"/>
      <c r="AV45"/>
      <c r="WD45" s="13"/>
    </row>
    <row r="46" spans="2:602" s="323" customFormat="1" x14ac:dyDescent="0.3">
      <c r="B46" s="95"/>
      <c r="F46" s="10"/>
      <c r="G46" s="10"/>
      <c r="H46" s="10"/>
      <c r="I46" s="10"/>
      <c r="J46" s="10"/>
      <c r="K46" s="10"/>
      <c r="L46" s="10"/>
      <c r="M46" s="10"/>
      <c r="N46" s="10"/>
      <c r="O46" s="10"/>
      <c r="P46" s="10"/>
      <c r="Q46" s="10"/>
      <c r="R46" s="10"/>
      <c r="S46" s="10"/>
      <c r="T46" s="93"/>
      <c r="Y46" s="132"/>
      <c r="AU46"/>
      <c r="AV46"/>
      <c r="WD46" s="13"/>
    </row>
    <row r="47" spans="2:602" s="323" customFormat="1" ht="12.75" customHeight="1" x14ac:dyDescent="0.3">
      <c r="B47" s="95"/>
      <c r="F47" s="10"/>
      <c r="G47" s="10"/>
      <c r="H47" s="10"/>
      <c r="I47" s="10"/>
      <c r="J47" s="10"/>
      <c r="K47" s="10"/>
      <c r="L47" s="10"/>
      <c r="M47" s="10"/>
      <c r="N47" s="10"/>
      <c r="O47" s="10"/>
      <c r="P47" s="10"/>
      <c r="Q47" s="10"/>
      <c r="R47" s="10"/>
      <c r="S47" s="10"/>
      <c r="T47" s="93"/>
      <c r="Y47" s="132"/>
      <c r="AU47"/>
      <c r="AV47"/>
      <c r="WD47" s="13"/>
    </row>
    <row r="48" spans="2:602" s="323" customFormat="1" x14ac:dyDescent="0.3">
      <c r="B48" s="95"/>
      <c r="F48" s="10"/>
      <c r="G48" s="10"/>
      <c r="H48" s="10"/>
      <c r="I48" s="10"/>
      <c r="J48" s="10"/>
      <c r="K48" s="10"/>
      <c r="L48" s="10"/>
      <c r="M48" s="10"/>
      <c r="N48" s="10"/>
      <c r="O48" s="10"/>
      <c r="P48" s="10"/>
      <c r="Q48" s="10"/>
      <c r="R48" s="10"/>
      <c r="S48" s="10"/>
      <c r="T48" s="93"/>
      <c r="Y48" s="132"/>
      <c r="AU48"/>
      <c r="AV48"/>
      <c r="WD48" s="13"/>
    </row>
    <row r="49" spans="2:602" s="323" customFormat="1" ht="12.75" customHeight="1" x14ac:dyDescent="0.3">
      <c r="B49" s="95"/>
      <c r="F49" s="10"/>
      <c r="G49" s="10"/>
      <c r="H49" s="10"/>
      <c r="I49" s="10"/>
      <c r="J49" s="10"/>
      <c r="K49" s="10"/>
      <c r="L49" s="10"/>
      <c r="M49" s="10"/>
      <c r="N49" s="10"/>
      <c r="O49" s="10"/>
      <c r="P49" s="10"/>
      <c r="Q49" s="10"/>
      <c r="R49" s="10"/>
      <c r="S49" s="10"/>
      <c r="T49" s="93"/>
      <c r="Y49" s="132"/>
      <c r="AU49"/>
      <c r="AV49"/>
      <c r="WD49" s="13"/>
    </row>
    <row r="50" spans="2:602" s="323" customFormat="1" ht="12.75" customHeight="1" x14ac:dyDescent="0.3">
      <c r="B50" s="95"/>
      <c r="F50" s="10"/>
      <c r="G50" s="10"/>
      <c r="H50" s="10"/>
      <c r="I50" s="10"/>
      <c r="J50" s="10"/>
      <c r="K50" s="10"/>
      <c r="L50" s="10"/>
      <c r="M50" s="10"/>
      <c r="N50" s="10"/>
      <c r="O50" s="10"/>
      <c r="P50" s="10"/>
      <c r="Q50" s="10"/>
      <c r="R50" s="10"/>
      <c r="S50" s="10"/>
      <c r="T50" s="93"/>
      <c r="Y50" s="132"/>
      <c r="AU50"/>
      <c r="AV50"/>
      <c r="WD50" s="13"/>
    </row>
    <row r="51" spans="2:602" s="323" customFormat="1" ht="12.75" customHeight="1" x14ac:dyDescent="0.3">
      <c r="B51" s="95"/>
      <c r="F51" s="10"/>
      <c r="G51" s="10"/>
      <c r="H51" s="10"/>
      <c r="I51" s="10"/>
      <c r="J51" s="10"/>
      <c r="K51" s="10"/>
      <c r="L51" s="10"/>
      <c r="M51" s="10"/>
      <c r="N51" s="10"/>
      <c r="O51" s="10"/>
      <c r="P51" s="10"/>
      <c r="Q51" s="10"/>
      <c r="R51" s="10"/>
      <c r="S51" s="10"/>
      <c r="T51" s="93"/>
      <c r="Y51" s="132"/>
      <c r="AU51"/>
      <c r="AV51"/>
      <c r="WD51" s="13"/>
    </row>
    <row r="52" spans="2:602" s="323" customFormat="1" ht="12.75" customHeight="1" x14ac:dyDescent="0.3">
      <c r="B52" s="95"/>
      <c r="F52" s="10"/>
      <c r="G52" s="10"/>
      <c r="H52" s="10"/>
      <c r="I52" s="10"/>
      <c r="J52" s="10"/>
      <c r="K52" s="10"/>
      <c r="L52" s="10"/>
      <c r="M52" s="10"/>
      <c r="N52" s="10"/>
      <c r="O52" s="10"/>
      <c r="P52" s="10"/>
      <c r="Q52" s="10"/>
      <c r="R52" s="10"/>
      <c r="S52" s="10"/>
      <c r="T52" s="93"/>
      <c r="Y52" s="132"/>
      <c r="AU52"/>
      <c r="AV52"/>
      <c r="WD52" s="13"/>
    </row>
    <row r="53" spans="2:602" s="323" customFormat="1" ht="12.75" customHeight="1" x14ac:dyDescent="0.3">
      <c r="B53" s="95"/>
      <c r="F53" s="10"/>
      <c r="G53" s="10"/>
      <c r="H53" s="10"/>
      <c r="I53" s="10"/>
      <c r="J53" s="10"/>
      <c r="K53" s="10"/>
      <c r="L53" s="10"/>
      <c r="M53" s="10"/>
      <c r="N53" s="10"/>
      <c r="O53" s="10"/>
      <c r="P53" s="10"/>
      <c r="Q53" s="10"/>
      <c r="R53" s="10"/>
      <c r="S53" s="10"/>
      <c r="T53" s="93"/>
      <c r="Y53" s="132"/>
      <c r="AU53"/>
      <c r="AV53"/>
      <c r="WD53" s="13"/>
    </row>
    <row r="54" spans="2:602" ht="12.75" customHeight="1" x14ac:dyDescent="0.3">
      <c r="B54" s="95"/>
      <c r="F54" s="10"/>
      <c r="G54" s="10"/>
      <c r="H54" s="10"/>
      <c r="I54" s="10"/>
      <c r="J54" s="10"/>
      <c r="K54" s="10"/>
      <c r="L54" s="10"/>
      <c r="M54" s="10"/>
      <c r="N54" s="10"/>
      <c r="O54" s="10"/>
      <c r="P54" s="10"/>
      <c r="Q54" s="10"/>
      <c r="R54" s="10"/>
      <c r="S54" s="10"/>
      <c r="T54" s="93"/>
      <c r="AU54"/>
      <c r="AV54"/>
    </row>
    <row r="55" spans="2:602" ht="12.75" customHeight="1" x14ac:dyDescent="0.3">
      <c r="B55" s="95"/>
      <c r="F55" s="10"/>
      <c r="G55" s="10"/>
      <c r="H55" s="10"/>
      <c r="I55" s="10"/>
      <c r="J55" s="10"/>
      <c r="K55" s="10"/>
      <c r="L55" s="10"/>
      <c r="M55" s="10"/>
      <c r="N55" s="10"/>
      <c r="O55" s="10"/>
      <c r="P55" s="10"/>
      <c r="Q55" s="10"/>
      <c r="R55" s="10"/>
      <c r="S55" s="10"/>
      <c r="T55" s="93"/>
      <c r="AU55"/>
      <c r="AV55"/>
    </row>
    <row r="56" spans="2:602" x14ac:dyDescent="0.3">
      <c r="B56" s="95"/>
      <c r="F56" s="10"/>
      <c r="G56" s="10"/>
      <c r="H56" s="10"/>
      <c r="I56" s="10"/>
      <c r="J56" s="10"/>
      <c r="K56" s="10"/>
      <c r="L56" s="10"/>
      <c r="M56" s="10"/>
      <c r="N56" s="10"/>
      <c r="O56" s="10"/>
      <c r="P56" s="10"/>
      <c r="Q56" s="10"/>
      <c r="R56" s="10"/>
      <c r="S56" s="10"/>
      <c r="T56" s="93"/>
      <c r="AU56"/>
      <c r="AV56"/>
    </row>
    <row r="57" spans="2:602" ht="26.25" customHeight="1" x14ac:dyDescent="0.3">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5">
      <c r="B58" s="96"/>
      <c r="C58" s="92"/>
      <c r="D58" s="92"/>
      <c r="E58" s="92"/>
      <c r="F58" s="92"/>
      <c r="G58" s="92"/>
      <c r="H58" s="92"/>
      <c r="I58" s="92"/>
      <c r="J58" s="92"/>
      <c r="K58" s="92"/>
      <c r="L58" s="92"/>
      <c r="M58" s="92"/>
      <c r="N58" s="92"/>
      <c r="O58" s="92"/>
      <c r="P58" s="92"/>
      <c r="Q58" s="92"/>
      <c r="R58" s="92"/>
      <c r="S58" s="92"/>
      <c r="T58" s="94"/>
      <c r="AU58"/>
      <c r="AV58"/>
    </row>
    <row r="59" spans="2:602" hidden="1" x14ac:dyDescent="0.3">
      <c r="C59" s="4"/>
      <c r="D59" s="4"/>
      <c r="E59" s="4"/>
      <c r="F59" s="4"/>
      <c r="N59" s="4"/>
      <c r="O59" s="4"/>
      <c r="P59" s="4"/>
      <c r="Q59" s="4"/>
      <c r="AU59"/>
      <c r="AV59"/>
    </row>
    <row r="60" spans="2:602" ht="15" hidden="1" thickBot="1" x14ac:dyDescent="0.35">
      <c r="G60" s="139" t="s">
        <v>458</v>
      </c>
      <c r="H60" s="323" t="s">
        <v>460</v>
      </c>
      <c r="I60" s="92"/>
      <c r="J60" s="92"/>
      <c r="K60" s="92"/>
      <c r="L60" s="92"/>
      <c r="M60" s="92"/>
      <c r="AU60"/>
      <c r="AV60"/>
    </row>
    <row r="61" spans="2:602" ht="28.5" hidden="1" customHeight="1" x14ac:dyDescent="0.3">
      <c r="G61" s="139" t="s">
        <v>964</v>
      </c>
      <c r="H61" s="323" t="s">
        <v>958</v>
      </c>
      <c r="I61" s="4"/>
      <c r="J61" s="4"/>
      <c r="K61" s="4"/>
      <c r="L61" s="4"/>
      <c r="M61" s="4"/>
      <c r="AU61"/>
      <c r="AV61"/>
    </row>
    <row r="62" spans="2:602" hidden="1" x14ac:dyDescent="0.3">
      <c r="AU62"/>
      <c r="AV62"/>
    </row>
    <row r="63" spans="2:602" hidden="1" x14ac:dyDescent="0.3">
      <c r="G63" s="139" t="s">
        <v>410</v>
      </c>
      <c r="H63" s="323" t="s">
        <v>1021</v>
      </c>
      <c r="I63" s="323" t="s">
        <v>1224</v>
      </c>
      <c r="J63" s="323" t="s">
        <v>1225</v>
      </c>
      <c r="K63" s="323" t="s">
        <v>1226</v>
      </c>
      <c r="L63" s="323" t="s">
        <v>1022</v>
      </c>
      <c r="M63" s="323" t="s">
        <v>1023</v>
      </c>
      <c r="AU63"/>
      <c r="AV63"/>
    </row>
    <row r="64" spans="2:602" hidden="1" x14ac:dyDescent="0.3">
      <c r="G64" s="6" t="s">
        <v>826</v>
      </c>
      <c r="H64" s="133"/>
      <c r="I64" s="133"/>
      <c r="J64" s="133"/>
      <c r="K64" s="133"/>
      <c r="L64" s="133"/>
      <c r="M64" s="133"/>
      <c r="AU64"/>
      <c r="AV64"/>
    </row>
    <row r="65" spans="3:48" hidden="1" x14ac:dyDescent="0.3">
      <c r="C65"/>
      <c r="D65"/>
      <c r="G65" s="6" t="s">
        <v>420</v>
      </c>
      <c r="H65" s="133">
        <v>997</v>
      </c>
      <c r="I65" s="133">
        <v>543</v>
      </c>
      <c r="J65" s="133">
        <v>1571</v>
      </c>
      <c r="K65" s="133">
        <v>305</v>
      </c>
      <c r="L65" s="133">
        <v>343</v>
      </c>
      <c r="M65" s="133">
        <v>1310</v>
      </c>
      <c r="AU65"/>
      <c r="AV65"/>
    </row>
    <row r="66" spans="3:48" hidden="1" x14ac:dyDescent="0.3">
      <c r="C66"/>
      <c r="D66"/>
      <c r="G66" s="6" t="s">
        <v>1264</v>
      </c>
      <c r="H66" s="133">
        <v>322</v>
      </c>
      <c r="I66" s="133">
        <v>77</v>
      </c>
      <c r="J66" s="133">
        <v>454</v>
      </c>
      <c r="K66" s="133">
        <v>322</v>
      </c>
      <c r="L66" s="133"/>
      <c r="M66" s="133">
        <v>322</v>
      </c>
      <c r="AU66"/>
      <c r="AV66"/>
    </row>
    <row r="67" spans="3:48" hidden="1" x14ac:dyDescent="0.3">
      <c r="C67"/>
      <c r="D67"/>
      <c r="E67"/>
      <c r="F67"/>
      <c r="G67" s="6" t="s">
        <v>411</v>
      </c>
      <c r="H67" s="133">
        <v>1319</v>
      </c>
      <c r="I67" s="133">
        <v>620</v>
      </c>
      <c r="J67" s="133">
        <v>2025</v>
      </c>
      <c r="K67" s="133">
        <v>627</v>
      </c>
      <c r="L67" s="133">
        <v>343</v>
      </c>
      <c r="M67" s="133">
        <v>1632</v>
      </c>
      <c r="AU67"/>
      <c r="AV67"/>
    </row>
    <row r="68" spans="3:48" hidden="1" x14ac:dyDescent="0.3">
      <c r="C68" s="323" t="s">
        <v>1223</v>
      </c>
      <c r="D68" s="323" t="s">
        <v>1224</v>
      </c>
      <c r="E68" s="323" t="s">
        <v>1225</v>
      </c>
      <c r="F68" s="323" t="s">
        <v>1226</v>
      </c>
      <c r="G68" s="323" t="s">
        <v>1022</v>
      </c>
      <c r="H68" s="323" t="s">
        <v>1023</v>
      </c>
      <c r="I68"/>
      <c r="J68"/>
      <c r="K68"/>
      <c r="L68"/>
      <c r="M68"/>
      <c r="AU68"/>
      <c r="AV68"/>
    </row>
    <row r="69" spans="3:48" hidden="1" x14ac:dyDescent="0.3">
      <c r="C69" s="133">
        <v>5652</v>
      </c>
      <c r="D69" s="133">
        <v>2417</v>
      </c>
      <c r="E69" s="133">
        <v>10374</v>
      </c>
      <c r="F69" s="133">
        <v>2803</v>
      </c>
      <c r="G69" s="133">
        <v>1641</v>
      </c>
      <c r="H69" s="133">
        <v>4592</v>
      </c>
      <c r="I69"/>
      <c r="J69"/>
      <c r="K69"/>
      <c r="L69"/>
      <c r="M69"/>
      <c r="AU69"/>
      <c r="AV69"/>
    </row>
    <row r="70" spans="3:48" hidden="1" x14ac:dyDescent="0.3">
      <c r="C70"/>
      <c r="D70"/>
      <c r="E70"/>
      <c r="F70"/>
      <c r="G70"/>
      <c r="H70"/>
      <c r="I70"/>
      <c r="J70"/>
      <c r="K70"/>
      <c r="L70"/>
      <c r="M70"/>
      <c r="AU70"/>
      <c r="AV70"/>
    </row>
    <row r="71" spans="3:48" hidden="1" x14ac:dyDescent="0.3">
      <c r="C71"/>
      <c r="D71"/>
      <c r="E71"/>
      <c r="F71"/>
      <c r="G71"/>
      <c r="H71"/>
      <c r="I71"/>
      <c r="J71"/>
      <c r="K71"/>
      <c r="L71"/>
      <c r="M71"/>
      <c r="AU71"/>
      <c r="AV71"/>
    </row>
    <row r="72" spans="3:48" hidden="1" x14ac:dyDescent="0.3">
      <c r="C72"/>
      <c r="D72"/>
      <c r="E72"/>
      <c r="F72"/>
      <c r="G72"/>
      <c r="H72"/>
      <c r="I72"/>
      <c r="J72"/>
      <c r="K72"/>
      <c r="L72"/>
      <c r="M72"/>
      <c r="AU72"/>
      <c r="AV72"/>
    </row>
    <row r="73" spans="3:48" hidden="1" x14ac:dyDescent="0.3">
      <c r="C73"/>
      <c r="D73"/>
      <c r="E73"/>
      <c r="F73"/>
      <c r="G73"/>
      <c r="H73"/>
      <c r="I73"/>
      <c r="J73"/>
      <c r="K73"/>
      <c r="L73"/>
      <c r="M73"/>
      <c r="AU73"/>
      <c r="AV73"/>
    </row>
    <row r="74" spans="3:48" hidden="1" x14ac:dyDescent="0.3">
      <c r="C74"/>
      <c r="D74"/>
      <c r="E74"/>
      <c r="F74"/>
      <c r="G74"/>
      <c r="H74"/>
      <c r="I74"/>
      <c r="J74"/>
      <c r="K74"/>
      <c r="L74"/>
      <c r="M74"/>
      <c r="AU74"/>
      <c r="AV74"/>
    </row>
    <row r="75" spans="3:48" hidden="1" x14ac:dyDescent="0.3">
      <c r="C75"/>
      <c r="D75"/>
      <c r="E75"/>
      <c r="F75"/>
      <c r="G75"/>
      <c r="H75"/>
      <c r="I75"/>
      <c r="J75"/>
      <c r="K75"/>
      <c r="L75"/>
      <c r="M75"/>
      <c r="AU75"/>
      <c r="AV75"/>
    </row>
    <row r="76" spans="3:48" hidden="1" x14ac:dyDescent="0.3">
      <c r="C76"/>
      <c r="D76"/>
      <c r="E76"/>
      <c r="F76"/>
      <c r="G76"/>
      <c r="H76"/>
      <c r="I76"/>
      <c r="J76"/>
      <c r="K76"/>
      <c r="L76"/>
      <c r="M76"/>
      <c r="AU76"/>
      <c r="AV76"/>
    </row>
    <row r="77" spans="3:48" hidden="1" x14ac:dyDescent="0.3">
      <c r="C77"/>
      <c r="D77"/>
      <c r="E77"/>
      <c r="F77"/>
      <c r="G77"/>
      <c r="H77"/>
      <c r="I77"/>
      <c r="J77"/>
      <c r="K77"/>
      <c r="L77"/>
      <c r="M77"/>
      <c r="AU77"/>
      <c r="AV77"/>
    </row>
    <row r="78" spans="3:48" hidden="1" x14ac:dyDescent="0.3">
      <c r="C78"/>
      <c r="D78"/>
      <c r="E78"/>
      <c r="F78"/>
      <c r="G78"/>
      <c r="H78"/>
      <c r="I78"/>
      <c r="J78"/>
      <c r="K78"/>
      <c r="L78"/>
      <c r="M78"/>
      <c r="AU78"/>
      <c r="AV78"/>
    </row>
    <row r="79" spans="3:48" hidden="1" x14ac:dyDescent="0.3">
      <c r="C79"/>
      <c r="D79"/>
      <c r="E79"/>
      <c r="F79"/>
      <c r="G79"/>
      <c r="H79"/>
      <c r="I79"/>
      <c r="J79"/>
      <c r="K79"/>
      <c r="L79"/>
      <c r="AU79"/>
      <c r="AV79"/>
    </row>
    <row r="80" spans="3:48" hidden="1" x14ac:dyDescent="0.3">
      <c r="C80"/>
      <c r="D80"/>
      <c r="E80"/>
      <c r="F80"/>
      <c r="G80"/>
      <c r="H80"/>
      <c r="I80"/>
      <c r="J80"/>
      <c r="K80"/>
      <c r="L80"/>
      <c r="AU80"/>
      <c r="AV80"/>
    </row>
    <row r="81" spans="3:48" hidden="1" x14ac:dyDescent="0.3">
      <c r="C81"/>
      <c r="D81"/>
      <c r="E81"/>
      <c r="F81"/>
      <c r="G81"/>
      <c r="H81"/>
      <c r="I81"/>
      <c r="J81"/>
      <c r="K81"/>
      <c r="L81"/>
      <c r="AU81"/>
      <c r="AV81"/>
    </row>
    <row r="82" spans="3:48" hidden="1" x14ac:dyDescent="0.3">
      <c r="C82"/>
      <c r="D82"/>
      <c r="E82"/>
      <c r="F82"/>
      <c r="G82"/>
      <c r="H82"/>
      <c r="I82"/>
      <c r="J82"/>
      <c r="K82"/>
      <c r="L82"/>
      <c r="AU82"/>
      <c r="AV82"/>
    </row>
    <row r="83" spans="3:48" hidden="1" x14ac:dyDescent="0.3">
      <c r="C83"/>
      <c r="D83"/>
      <c r="E83"/>
      <c r="F83"/>
      <c r="G83"/>
      <c r="H83"/>
      <c r="I83"/>
      <c r="J83"/>
      <c r="K83"/>
      <c r="L83"/>
      <c r="AU83"/>
      <c r="AV83"/>
    </row>
    <row r="84" spans="3:48" hidden="1" x14ac:dyDescent="0.3">
      <c r="C84"/>
      <c r="D84"/>
      <c r="E84"/>
      <c r="F84"/>
      <c r="G84"/>
      <c r="H84"/>
      <c r="I84"/>
      <c r="J84"/>
      <c r="K84"/>
      <c r="L84"/>
      <c r="AU84"/>
      <c r="AV84"/>
    </row>
    <row r="85" spans="3:48" hidden="1" x14ac:dyDescent="0.3">
      <c r="C85"/>
      <c r="D85"/>
      <c r="E85"/>
      <c r="G85"/>
      <c r="H85"/>
      <c r="I85"/>
      <c r="J85"/>
      <c r="K85"/>
      <c r="L85"/>
      <c r="AU85"/>
      <c r="AV85"/>
    </row>
    <row r="86" spans="3:48" hidden="1" x14ac:dyDescent="0.3">
      <c r="G86"/>
      <c r="H86"/>
      <c r="I86"/>
      <c r="J86"/>
      <c r="K86"/>
      <c r="L86"/>
      <c r="AU86"/>
      <c r="AV86"/>
    </row>
    <row r="87" spans="3:48" hidden="1" x14ac:dyDescent="0.3">
      <c r="G87"/>
      <c r="H87"/>
      <c r="I87"/>
      <c r="J87"/>
      <c r="K87"/>
      <c r="L87"/>
      <c r="AU87"/>
      <c r="AV87"/>
    </row>
    <row r="88" spans="3:48" hidden="1" x14ac:dyDescent="0.3">
      <c r="G88"/>
      <c r="H88"/>
      <c r="I88"/>
      <c r="J88"/>
      <c r="K88"/>
      <c r="L88"/>
      <c r="AU88"/>
      <c r="AV88"/>
    </row>
    <row r="89" spans="3:48" hidden="1" x14ac:dyDescent="0.3">
      <c r="G89"/>
      <c r="H89"/>
      <c r="I89"/>
      <c r="J89"/>
      <c r="K89"/>
      <c r="L89"/>
      <c r="AU89"/>
      <c r="AV89"/>
    </row>
    <row r="90" spans="3:48" hidden="1" x14ac:dyDescent="0.3">
      <c r="G90"/>
      <c r="H90"/>
      <c r="I90"/>
      <c r="J90"/>
      <c r="K90"/>
      <c r="L90"/>
      <c r="AU90"/>
      <c r="AV90"/>
    </row>
    <row r="91" spans="3:48" hidden="1" x14ac:dyDescent="0.3">
      <c r="G91"/>
      <c r="H91"/>
      <c r="I91"/>
      <c r="J91"/>
      <c r="K91"/>
      <c r="L91"/>
      <c r="AU91"/>
      <c r="AV91"/>
    </row>
    <row r="92" spans="3:48" ht="12" customHeight="1" x14ac:dyDescent="0.3">
      <c r="G92"/>
      <c r="H92"/>
      <c r="I92"/>
      <c r="J92"/>
      <c r="K92"/>
      <c r="L92"/>
      <c r="AU92"/>
      <c r="AV92"/>
    </row>
    <row r="93" spans="3:48" x14ac:dyDescent="0.3">
      <c r="G93"/>
      <c r="H93"/>
      <c r="I93"/>
      <c r="J93"/>
      <c r="K93"/>
      <c r="L93"/>
      <c r="AU93"/>
      <c r="AV93"/>
    </row>
    <row r="94" spans="3:48" x14ac:dyDescent="0.3">
      <c r="G94"/>
      <c r="H94"/>
      <c r="I94"/>
      <c r="J94"/>
      <c r="K94"/>
      <c r="L94"/>
      <c r="AU94"/>
      <c r="AV94"/>
    </row>
    <row r="95" spans="3:48" x14ac:dyDescent="0.3">
      <c r="G95"/>
      <c r="H95"/>
      <c r="I95"/>
      <c r="J95"/>
      <c r="K95"/>
      <c r="L95"/>
      <c r="AU95"/>
      <c r="AV95"/>
    </row>
    <row r="96" spans="3:48" x14ac:dyDescent="0.3">
      <c r="G96"/>
      <c r="H96"/>
      <c r="I96"/>
      <c r="J96"/>
      <c r="K96"/>
      <c r="L96"/>
      <c r="AU96"/>
      <c r="AV96"/>
    </row>
    <row r="97" spans="3:48" x14ac:dyDescent="0.3">
      <c r="G97"/>
      <c r="H97"/>
      <c r="I97"/>
      <c r="J97"/>
      <c r="K97"/>
      <c r="L97"/>
      <c r="AU97"/>
      <c r="AV97"/>
    </row>
    <row r="98" spans="3:48" x14ac:dyDescent="0.3">
      <c r="C98"/>
      <c r="D98"/>
      <c r="E98"/>
      <c r="F98"/>
      <c r="G98"/>
      <c r="H98"/>
      <c r="I98"/>
      <c r="J98"/>
      <c r="K98"/>
      <c r="L98"/>
      <c r="AU98"/>
      <c r="AV98"/>
    </row>
    <row r="99" spans="3:48" x14ac:dyDescent="0.3">
      <c r="C99"/>
      <c r="D99"/>
      <c r="E99"/>
      <c r="F99"/>
      <c r="G99"/>
      <c r="H99"/>
      <c r="I99"/>
      <c r="J99"/>
      <c r="K99"/>
      <c r="L99"/>
      <c r="AU99"/>
      <c r="AV99"/>
    </row>
    <row r="100" spans="3:48" x14ac:dyDescent="0.3">
      <c r="C100"/>
      <c r="D100"/>
      <c r="E100"/>
      <c r="F100"/>
      <c r="G100"/>
      <c r="H100"/>
      <c r="I100"/>
      <c r="J100"/>
      <c r="K100"/>
      <c r="L100"/>
      <c r="AU100"/>
      <c r="AV100"/>
    </row>
    <row r="101" spans="3:48" x14ac:dyDescent="0.3">
      <c r="C101"/>
      <c r="D101"/>
      <c r="E101"/>
      <c r="F101"/>
      <c r="G101"/>
      <c r="H101"/>
      <c r="I101"/>
      <c r="J101"/>
      <c r="K101"/>
      <c r="L101"/>
      <c r="AU101"/>
      <c r="AV101"/>
    </row>
    <row r="102" spans="3:48" x14ac:dyDescent="0.3">
      <c r="C102"/>
      <c r="D102"/>
      <c r="E102"/>
      <c r="F102"/>
      <c r="G102"/>
      <c r="H102"/>
      <c r="I102"/>
      <c r="J102"/>
      <c r="K102"/>
      <c r="L102"/>
      <c r="AU102"/>
      <c r="AV102"/>
    </row>
    <row r="103" spans="3:48" x14ac:dyDescent="0.3">
      <c r="C103"/>
      <c r="D103"/>
      <c r="E103"/>
      <c r="F103"/>
      <c r="G103"/>
      <c r="H103"/>
      <c r="I103"/>
      <c r="J103"/>
      <c r="K103"/>
      <c r="L103"/>
      <c r="AU103"/>
      <c r="AV103"/>
    </row>
    <row r="104" spans="3:48" x14ac:dyDescent="0.3">
      <c r="C104"/>
      <c r="D104"/>
      <c r="E104"/>
      <c r="F104"/>
      <c r="G104"/>
      <c r="H104"/>
      <c r="I104"/>
      <c r="J104"/>
      <c r="K104"/>
      <c r="L104"/>
      <c r="AU104"/>
      <c r="AV104"/>
    </row>
    <row r="105" spans="3:48" x14ac:dyDescent="0.3">
      <c r="C105"/>
      <c r="D105"/>
      <c r="E105"/>
      <c r="F105"/>
      <c r="G105"/>
      <c r="H105"/>
      <c r="I105"/>
      <c r="J105"/>
      <c r="K105"/>
      <c r="L105"/>
      <c r="AU105"/>
      <c r="AV105"/>
    </row>
    <row r="106" spans="3:48" x14ac:dyDescent="0.3">
      <c r="C106"/>
      <c r="D106"/>
      <c r="E106"/>
      <c r="F106"/>
      <c r="G106"/>
      <c r="H106"/>
      <c r="I106"/>
      <c r="J106"/>
      <c r="K106"/>
      <c r="L106"/>
      <c r="AU106"/>
      <c r="AV106"/>
    </row>
    <row r="107" spans="3:48" x14ac:dyDescent="0.3">
      <c r="C107"/>
      <c r="D107"/>
      <c r="E107"/>
      <c r="F107"/>
      <c r="G107"/>
      <c r="H107"/>
      <c r="I107"/>
      <c r="J107"/>
      <c r="K107"/>
      <c r="L107"/>
      <c r="AU107"/>
      <c r="AV107"/>
    </row>
    <row r="108" spans="3:48" x14ac:dyDescent="0.3">
      <c r="C108"/>
      <c r="D108"/>
      <c r="E108"/>
      <c r="F108"/>
      <c r="G108"/>
      <c r="H108"/>
      <c r="I108"/>
      <c r="J108"/>
      <c r="K108"/>
      <c r="L108"/>
      <c r="AU108"/>
      <c r="AV108"/>
    </row>
    <row r="109" spans="3:48" x14ac:dyDescent="0.3">
      <c r="C109"/>
      <c r="D109"/>
      <c r="E109"/>
      <c r="F109"/>
      <c r="G109"/>
      <c r="H109"/>
      <c r="I109"/>
      <c r="J109"/>
      <c r="K109"/>
      <c r="L109"/>
      <c r="AU109"/>
      <c r="AV109"/>
    </row>
    <row r="110" spans="3:48" x14ac:dyDescent="0.3">
      <c r="C110"/>
      <c r="D110"/>
      <c r="E110"/>
      <c r="F110"/>
      <c r="G110"/>
      <c r="H110"/>
      <c r="I110"/>
      <c r="J110"/>
      <c r="K110"/>
      <c r="L110"/>
      <c r="AU110"/>
      <c r="AV110"/>
    </row>
    <row r="111" spans="3:48" x14ac:dyDescent="0.3">
      <c r="C111"/>
      <c r="D111"/>
      <c r="E111"/>
      <c r="F111"/>
      <c r="G111"/>
      <c r="H111"/>
      <c r="I111"/>
      <c r="J111"/>
      <c r="K111"/>
      <c r="L111"/>
      <c r="AU111"/>
      <c r="AV111"/>
    </row>
    <row r="112" spans="3:48" x14ac:dyDescent="0.3">
      <c r="C112"/>
      <c r="D112"/>
      <c r="E112"/>
      <c r="F112"/>
      <c r="G112"/>
      <c r="H112"/>
      <c r="I112"/>
      <c r="J112"/>
      <c r="K112"/>
      <c r="L112"/>
      <c r="AU112"/>
      <c r="AV112"/>
    </row>
    <row r="113" spans="3:48" x14ac:dyDescent="0.3">
      <c r="C113"/>
      <c r="D113"/>
      <c r="E113"/>
      <c r="F113"/>
      <c r="G113"/>
      <c r="H113"/>
      <c r="I113"/>
      <c r="J113"/>
      <c r="K113"/>
      <c r="L113"/>
      <c r="AU113"/>
      <c r="AV113"/>
    </row>
    <row r="114" spans="3:48" x14ac:dyDescent="0.3">
      <c r="C114"/>
      <c r="D114"/>
      <c r="E114"/>
      <c r="F114"/>
      <c r="G114"/>
      <c r="H114"/>
      <c r="I114"/>
      <c r="J114"/>
      <c r="K114"/>
      <c r="L114"/>
      <c r="AU114"/>
      <c r="AV114"/>
    </row>
    <row r="115" spans="3:48" x14ac:dyDescent="0.3">
      <c r="C115"/>
      <c r="D115"/>
      <c r="E115"/>
      <c r="F115"/>
      <c r="G115"/>
      <c r="H115"/>
      <c r="I115"/>
      <c r="J115"/>
      <c r="K115"/>
      <c r="L115"/>
      <c r="AU115"/>
      <c r="AV115"/>
    </row>
    <row r="116" spans="3:48" x14ac:dyDescent="0.3">
      <c r="C116"/>
      <c r="D116"/>
      <c r="E116"/>
      <c r="F116"/>
      <c r="G116"/>
      <c r="H116"/>
      <c r="I116"/>
      <c r="J116"/>
      <c r="K116"/>
      <c r="L116"/>
      <c r="AU116"/>
      <c r="AV116"/>
    </row>
    <row r="117" spans="3:48" x14ac:dyDescent="0.3">
      <c r="C117"/>
      <c r="D117"/>
      <c r="E117"/>
      <c r="F117"/>
      <c r="G117"/>
      <c r="H117"/>
      <c r="I117"/>
      <c r="J117"/>
      <c r="K117"/>
      <c r="L117"/>
      <c r="AU117"/>
      <c r="AV117"/>
    </row>
    <row r="118" spans="3:48" x14ac:dyDescent="0.3">
      <c r="C118"/>
      <c r="D118"/>
      <c r="E118"/>
      <c r="F118"/>
      <c r="G118"/>
      <c r="H118"/>
      <c r="I118"/>
      <c r="J118"/>
      <c r="K118"/>
      <c r="L118"/>
      <c r="AU118"/>
      <c r="AV118"/>
    </row>
    <row r="119" spans="3:48" x14ac:dyDescent="0.3">
      <c r="C119"/>
      <c r="D119"/>
      <c r="E119"/>
      <c r="F119"/>
      <c r="G119"/>
      <c r="H119"/>
      <c r="I119"/>
      <c r="J119"/>
      <c r="K119"/>
      <c r="L119"/>
      <c r="AU119"/>
      <c r="AV119"/>
    </row>
    <row r="120" spans="3:48" x14ac:dyDescent="0.3">
      <c r="C120"/>
      <c r="D120"/>
      <c r="E120"/>
      <c r="F120"/>
      <c r="G120"/>
      <c r="H120"/>
      <c r="I120"/>
      <c r="J120"/>
      <c r="K120"/>
      <c r="L120"/>
      <c r="AU120"/>
      <c r="AV120"/>
    </row>
    <row r="121" spans="3:48" x14ac:dyDescent="0.3">
      <c r="G121"/>
      <c r="H121"/>
      <c r="I121"/>
      <c r="J121"/>
      <c r="K121"/>
      <c r="L121"/>
      <c r="AU121"/>
      <c r="AV121"/>
    </row>
    <row r="122" spans="3:48" x14ac:dyDescent="0.3">
      <c r="G122"/>
      <c r="H122"/>
      <c r="I122"/>
      <c r="J122"/>
      <c r="K122"/>
      <c r="L122"/>
      <c r="AU122"/>
      <c r="AV122"/>
    </row>
    <row r="123" spans="3:48" x14ac:dyDescent="0.3">
      <c r="G123"/>
      <c r="H123"/>
      <c r="I123"/>
      <c r="J123"/>
      <c r="K123"/>
      <c r="L123"/>
      <c r="AU123"/>
      <c r="AV123"/>
    </row>
    <row r="124" spans="3:48" x14ac:dyDescent="0.3">
      <c r="G124"/>
      <c r="H124"/>
      <c r="I124"/>
      <c r="J124"/>
      <c r="K124"/>
      <c r="L124"/>
      <c r="AU124"/>
      <c r="AV124"/>
    </row>
    <row r="125" spans="3:48" x14ac:dyDescent="0.3">
      <c r="G125"/>
      <c r="H125"/>
      <c r="I125"/>
      <c r="J125"/>
      <c r="K125"/>
      <c r="L125"/>
      <c r="AU125"/>
      <c r="AV125"/>
    </row>
    <row r="126" spans="3:48" x14ac:dyDescent="0.3">
      <c r="G126"/>
      <c r="H126"/>
      <c r="I126"/>
      <c r="J126"/>
      <c r="K126"/>
      <c r="L126"/>
      <c r="AU126"/>
      <c r="AV126"/>
    </row>
    <row r="127" spans="3:48" x14ac:dyDescent="0.3">
      <c r="G127"/>
      <c r="H127"/>
      <c r="I127"/>
      <c r="J127"/>
      <c r="K127"/>
      <c r="L127"/>
      <c r="AU127"/>
      <c r="AV127"/>
    </row>
    <row r="128" spans="3:48" x14ac:dyDescent="0.3">
      <c r="G128"/>
      <c r="H128"/>
      <c r="I128"/>
      <c r="J128"/>
      <c r="K128"/>
      <c r="L128"/>
      <c r="AU128"/>
      <c r="AV128"/>
    </row>
    <row r="129" spans="7:48" x14ac:dyDescent="0.3">
      <c r="G129"/>
      <c r="H129"/>
      <c r="I129"/>
      <c r="J129"/>
      <c r="K129"/>
      <c r="L129"/>
      <c r="AU129"/>
      <c r="AV129"/>
    </row>
    <row r="130" spans="7:48" x14ac:dyDescent="0.3">
      <c r="G130"/>
      <c r="H130"/>
      <c r="I130"/>
      <c r="J130"/>
      <c r="K130"/>
      <c r="L130"/>
      <c r="AU130"/>
      <c r="AV130"/>
    </row>
    <row r="131" spans="7:48" x14ac:dyDescent="0.3">
      <c r="G131"/>
      <c r="H131"/>
      <c r="I131"/>
      <c r="J131"/>
      <c r="K131"/>
      <c r="L131"/>
      <c r="AU131"/>
      <c r="AV131"/>
    </row>
    <row r="132" spans="7:48" x14ac:dyDescent="0.3">
      <c r="G132"/>
      <c r="H132"/>
      <c r="I132"/>
      <c r="J132"/>
      <c r="K132"/>
      <c r="L132"/>
      <c r="AU132"/>
      <c r="AV132"/>
    </row>
    <row r="133" spans="7:48" x14ac:dyDescent="0.3">
      <c r="G133"/>
      <c r="H133"/>
      <c r="I133"/>
      <c r="J133"/>
      <c r="K133"/>
      <c r="L133"/>
      <c r="AU133"/>
      <c r="AV133"/>
    </row>
    <row r="134" spans="7:48" x14ac:dyDescent="0.3">
      <c r="G134"/>
      <c r="H134"/>
      <c r="I134"/>
      <c r="J134"/>
      <c r="K134"/>
      <c r="L134"/>
      <c r="AU134"/>
      <c r="AV134"/>
    </row>
    <row r="135" spans="7:48" x14ac:dyDescent="0.3">
      <c r="G135"/>
      <c r="H135"/>
      <c r="I135"/>
      <c r="J135"/>
      <c r="K135"/>
      <c r="L135"/>
      <c r="AU135"/>
      <c r="AV135"/>
    </row>
    <row r="136" spans="7:48" x14ac:dyDescent="0.3">
      <c r="G136"/>
      <c r="H136"/>
      <c r="I136"/>
      <c r="J136"/>
      <c r="K136"/>
      <c r="L136"/>
      <c r="AU136"/>
      <c r="AV136"/>
    </row>
    <row r="137" spans="7:48" x14ac:dyDescent="0.3">
      <c r="G137"/>
      <c r="H137"/>
      <c r="I137"/>
      <c r="J137"/>
      <c r="K137"/>
      <c r="L137"/>
      <c r="AU137"/>
      <c r="AV137"/>
    </row>
    <row r="138" spans="7:48" x14ac:dyDescent="0.3">
      <c r="G138"/>
      <c r="H138"/>
      <c r="I138"/>
      <c r="J138"/>
      <c r="K138"/>
      <c r="L138"/>
      <c r="AU138"/>
      <c r="AV138"/>
    </row>
    <row r="139" spans="7:48" x14ac:dyDescent="0.3">
      <c r="G139"/>
      <c r="H139"/>
      <c r="I139"/>
      <c r="J139"/>
      <c r="K139"/>
      <c r="L139"/>
      <c r="AU139"/>
      <c r="AV139"/>
    </row>
    <row r="140" spans="7:48" x14ac:dyDescent="0.3">
      <c r="G140"/>
      <c r="H140"/>
      <c r="I140"/>
      <c r="J140"/>
      <c r="K140"/>
      <c r="L140"/>
      <c r="AU140"/>
      <c r="AV140"/>
    </row>
    <row r="141" spans="7:48" x14ac:dyDescent="0.3">
      <c r="G141"/>
      <c r="H141"/>
      <c r="I141"/>
      <c r="J141"/>
      <c r="K141"/>
      <c r="L141"/>
      <c r="AU141"/>
      <c r="AV141"/>
    </row>
    <row r="142" spans="7:48" x14ac:dyDescent="0.3">
      <c r="G142"/>
      <c r="H142"/>
      <c r="I142"/>
      <c r="J142"/>
      <c r="K142"/>
      <c r="L142"/>
      <c r="AU142"/>
      <c r="AV142"/>
    </row>
    <row r="143" spans="7:48" x14ac:dyDescent="0.3">
      <c r="G143"/>
      <c r="H143"/>
      <c r="I143"/>
      <c r="J143"/>
      <c r="K143"/>
      <c r="L143"/>
      <c r="AU143"/>
      <c r="AV143"/>
    </row>
    <row r="144" spans="7:48" x14ac:dyDescent="0.3">
      <c r="G144"/>
      <c r="H144"/>
      <c r="I144"/>
      <c r="J144"/>
      <c r="K144"/>
      <c r="L144"/>
      <c r="AU144"/>
      <c r="AV144"/>
    </row>
    <row r="145" spans="7:48" x14ac:dyDescent="0.3">
      <c r="G145"/>
      <c r="H145"/>
      <c r="I145"/>
      <c r="J145"/>
      <c r="K145"/>
      <c r="L145"/>
      <c r="AU145"/>
      <c r="AV145"/>
    </row>
    <row r="146" spans="7:48" x14ac:dyDescent="0.3">
      <c r="G146"/>
      <c r="H146"/>
      <c r="I146"/>
      <c r="J146"/>
      <c r="K146"/>
      <c r="L146"/>
      <c r="AU146"/>
      <c r="AV146"/>
    </row>
    <row r="147" spans="7:48" x14ac:dyDescent="0.3">
      <c r="G147"/>
      <c r="H147"/>
      <c r="I147"/>
      <c r="J147"/>
      <c r="K147"/>
      <c r="L147"/>
      <c r="AU147"/>
      <c r="AV147"/>
    </row>
    <row r="148" spans="7:48" x14ac:dyDescent="0.3">
      <c r="G148"/>
      <c r="H148"/>
      <c r="I148"/>
      <c r="J148"/>
      <c r="K148"/>
      <c r="L148"/>
      <c r="AU148"/>
      <c r="AV148"/>
    </row>
    <row r="149" spans="7:48" x14ac:dyDescent="0.3">
      <c r="G149"/>
      <c r="H149"/>
      <c r="I149"/>
      <c r="J149"/>
      <c r="K149"/>
      <c r="L149"/>
      <c r="AU149"/>
      <c r="AV149"/>
    </row>
    <row r="150" spans="7:48" x14ac:dyDescent="0.3">
      <c r="G150"/>
      <c r="H150"/>
      <c r="I150"/>
      <c r="J150"/>
      <c r="K150"/>
      <c r="L150"/>
      <c r="AU150"/>
      <c r="AV150"/>
    </row>
    <row r="151" spans="7:48" x14ac:dyDescent="0.3">
      <c r="G151"/>
      <c r="H151"/>
      <c r="I151"/>
      <c r="J151"/>
      <c r="K151"/>
      <c r="L151"/>
      <c r="AU151"/>
      <c r="AV151"/>
    </row>
    <row r="152" spans="7:48" x14ac:dyDescent="0.3">
      <c r="G152"/>
      <c r="H152"/>
      <c r="I152"/>
      <c r="J152"/>
      <c r="K152"/>
      <c r="L152"/>
      <c r="AU152"/>
      <c r="AV152"/>
    </row>
    <row r="153" spans="7:48" x14ac:dyDescent="0.3">
      <c r="G153"/>
      <c r="H153"/>
      <c r="I153"/>
      <c r="J153"/>
      <c r="K153"/>
      <c r="L153"/>
      <c r="AU153"/>
      <c r="AV153"/>
    </row>
    <row r="154" spans="7:48" x14ac:dyDescent="0.3">
      <c r="G154"/>
      <c r="H154"/>
      <c r="I154"/>
      <c r="J154"/>
      <c r="K154"/>
      <c r="L154"/>
    </row>
    <row r="155" spans="7:48" x14ac:dyDescent="0.3">
      <c r="G155"/>
      <c r="H155"/>
      <c r="I155"/>
      <c r="J155"/>
      <c r="K155"/>
      <c r="L155"/>
    </row>
    <row r="156" spans="7:48" x14ac:dyDescent="0.3">
      <c r="G156"/>
      <c r="H156"/>
      <c r="I156"/>
      <c r="J156"/>
      <c r="K156"/>
      <c r="L156"/>
    </row>
    <row r="157" spans="7:48" x14ac:dyDescent="0.3">
      <c r="G157"/>
      <c r="H157"/>
      <c r="I157"/>
      <c r="J157"/>
      <c r="K157"/>
      <c r="L157"/>
    </row>
    <row r="158" spans="7:48" x14ac:dyDescent="0.3">
      <c r="G158"/>
      <c r="H158"/>
      <c r="I158"/>
      <c r="J158"/>
      <c r="K158"/>
      <c r="L158"/>
    </row>
    <row r="159" spans="7:48" x14ac:dyDescent="0.3">
      <c r="G159"/>
      <c r="H159"/>
      <c r="I159"/>
      <c r="J159"/>
      <c r="K159"/>
      <c r="L159"/>
    </row>
    <row r="160" spans="7:48" x14ac:dyDescent="0.3">
      <c r="G160"/>
      <c r="H160"/>
      <c r="I160"/>
      <c r="J160"/>
      <c r="K160"/>
      <c r="L160"/>
    </row>
    <row r="161" spans="7:12" x14ac:dyDescent="0.3">
      <c r="G161"/>
      <c r="H161"/>
      <c r="I161"/>
      <c r="J161"/>
      <c r="K161"/>
      <c r="L161"/>
    </row>
    <row r="162" spans="7:12" x14ac:dyDescent="0.3">
      <c r="G162"/>
      <c r="H162"/>
      <c r="I162"/>
      <c r="J162"/>
      <c r="K162"/>
      <c r="L162"/>
    </row>
    <row r="163" spans="7:12" x14ac:dyDescent="0.3">
      <c r="G163"/>
      <c r="H163"/>
      <c r="I163"/>
      <c r="J163"/>
      <c r="K163"/>
      <c r="L163"/>
    </row>
    <row r="164" spans="7:12" x14ac:dyDescent="0.3">
      <c r="G164"/>
      <c r="H164"/>
      <c r="I164"/>
      <c r="J164"/>
      <c r="K164"/>
      <c r="L164"/>
    </row>
    <row r="165" spans="7:12" x14ac:dyDescent="0.3">
      <c r="G165"/>
      <c r="H165"/>
      <c r="I165"/>
      <c r="J165"/>
      <c r="K165"/>
      <c r="L165"/>
    </row>
    <row r="166" spans="7:12" x14ac:dyDescent="0.3">
      <c r="G166"/>
      <c r="H166"/>
      <c r="I166"/>
      <c r="J166"/>
      <c r="K166"/>
      <c r="L166"/>
    </row>
    <row r="167" spans="7:12" x14ac:dyDescent="0.3">
      <c r="G167"/>
      <c r="H167"/>
      <c r="I167"/>
      <c r="J167"/>
      <c r="K167"/>
      <c r="L167"/>
    </row>
    <row r="168" spans="7:12" x14ac:dyDescent="0.3">
      <c r="G168"/>
      <c r="H168"/>
      <c r="I168"/>
      <c r="J168"/>
      <c r="K168"/>
      <c r="L168"/>
    </row>
    <row r="169" spans="7:12" x14ac:dyDescent="0.3">
      <c r="G169"/>
      <c r="H169"/>
      <c r="I169"/>
      <c r="J169"/>
      <c r="K169"/>
      <c r="L169"/>
    </row>
    <row r="170" spans="7:12" x14ac:dyDescent="0.3">
      <c r="G170"/>
      <c r="H170"/>
      <c r="I170"/>
      <c r="J170"/>
      <c r="K170"/>
      <c r="L170"/>
    </row>
    <row r="171" spans="7:12" x14ac:dyDescent="0.3">
      <c r="G171"/>
      <c r="H171"/>
      <c r="I171"/>
      <c r="J171"/>
      <c r="K171"/>
      <c r="L171"/>
    </row>
    <row r="172" spans="7:12" x14ac:dyDescent="0.3">
      <c r="G172"/>
      <c r="H172"/>
      <c r="I172"/>
      <c r="J172"/>
      <c r="K172"/>
      <c r="L172"/>
    </row>
    <row r="173" spans="7:12" x14ac:dyDescent="0.3">
      <c r="G173"/>
      <c r="H173"/>
      <c r="I173"/>
      <c r="J173"/>
      <c r="K173"/>
      <c r="L173"/>
    </row>
    <row r="174" spans="7:12" x14ac:dyDescent="0.3">
      <c r="G174"/>
      <c r="H174"/>
      <c r="I174"/>
      <c r="J174"/>
      <c r="K174"/>
      <c r="L174"/>
    </row>
    <row r="175" spans="7:12" x14ac:dyDescent="0.3">
      <c r="G175"/>
      <c r="H175"/>
      <c r="I175"/>
      <c r="J175"/>
      <c r="K175"/>
      <c r="L175"/>
    </row>
    <row r="176" spans="7:12" x14ac:dyDescent="0.3">
      <c r="G176"/>
      <c r="H176"/>
      <c r="I176"/>
      <c r="J176"/>
      <c r="K176"/>
      <c r="L176"/>
    </row>
    <row r="177" spans="7:12" x14ac:dyDescent="0.3">
      <c r="G177"/>
      <c r="H177"/>
      <c r="I177"/>
      <c r="J177"/>
      <c r="K177"/>
      <c r="L177"/>
    </row>
    <row r="178" spans="7:12" x14ac:dyDescent="0.3">
      <c r="G178"/>
      <c r="H178"/>
      <c r="I178"/>
      <c r="J178"/>
      <c r="K178"/>
      <c r="L178"/>
    </row>
    <row r="179" spans="7:12" x14ac:dyDescent="0.3">
      <c r="G179"/>
      <c r="H179"/>
      <c r="I179"/>
      <c r="J179"/>
      <c r="K179"/>
      <c r="L179"/>
    </row>
    <row r="180" spans="7:12" x14ac:dyDescent="0.3">
      <c r="G180"/>
      <c r="H180"/>
      <c r="I180"/>
      <c r="J180"/>
      <c r="K180"/>
      <c r="L180"/>
    </row>
    <row r="181" spans="7:12" x14ac:dyDescent="0.3">
      <c r="G181"/>
      <c r="H181"/>
      <c r="I181"/>
      <c r="J181"/>
      <c r="K181"/>
      <c r="L181"/>
    </row>
    <row r="182" spans="7:12" x14ac:dyDescent="0.3">
      <c r="G182"/>
      <c r="H182"/>
      <c r="I182"/>
      <c r="J182"/>
      <c r="K182"/>
      <c r="L182"/>
    </row>
    <row r="183" spans="7:12" x14ac:dyDescent="0.3">
      <c r="G183"/>
      <c r="H183"/>
      <c r="I183"/>
      <c r="J183"/>
      <c r="K183"/>
      <c r="L183"/>
    </row>
    <row r="184" spans="7:12" x14ac:dyDescent="0.3">
      <c r="G184"/>
      <c r="H184"/>
      <c r="I184"/>
      <c r="J184"/>
      <c r="K184"/>
      <c r="L184"/>
    </row>
    <row r="185" spans="7:12" x14ac:dyDescent="0.3">
      <c r="G185"/>
      <c r="H185"/>
      <c r="I185"/>
      <c r="J185"/>
      <c r="K185"/>
      <c r="L185"/>
    </row>
    <row r="186" spans="7:12" x14ac:dyDescent="0.3">
      <c r="G186"/>
      <c r="H186"/>
      <c r="I186"/>
      <c r="J186"/>
      <c r="K186"/>
      <c r="L186"/>
    </row>
    <row r="187" spans="7:12" x14ac:dyDescent="0.3">
      <c r="G187"/>
      <c r="H187"/>
      <c r="I187"/>
      <c r="J187"/>
      <c r="K187"/>
      <c r="L187"/>
    </row>
    <row r="188" spans="7:12" x14ac:dyDescent="0.3">
      <c r="G188"/>
      <c r="H188"/>
      <c r="I188"/>
      <c r="J188"/>
      <c r="K188"/>
      <c r="L188"/>
    </row>
    <row r="189" spans="7:12" x14ac:dyDescent="0.3">
      <c r="G189"/>
      <c r="H189"/>
      <c r="I189"/>
      <c r="J189"/>
      <c r="K189"/>
      <c r="L189"/>
    </row>
    <row r="190" spans="7:12" x14ac:dyDescent="0.3">
      <c r="G190"/>
      <c r="H190"/>
      <c r="I190"/>
      <c r="J190"/>
      <c r="K190"/>
      <c r="L190"/>
    </row>
    <row r="191" spans="7:12" x14ac:dyDescent="0.3">
      <c r="G191"/>
      <c r="H191"/>
      <c r="I191"/>
      <c r="J191"/>
      <c r="K191"/>
      <c r="L191"/>
    </row>
    <row r="192" spans="7:12" x14ac:dyDescent="0.3">
      <c r="G192"/>
      <c r="H192"/>
      <c r="I192"/>
      <c r="J192"/>
      <c r="K192"/>
      <c r="L192"/>
    </row>
    <row r="193" spans="7:12" x14ac:dyDescent="0.3">
      <c r="G193"/>
      <c r="H193"/>
      <c r="I193"/>
      <c r="J193"/>
      <c r="K193"/>
      <c r="L193"/>
    </row>
    <row r="194" spans="7:12" x14ac:dyDescent="0.3">
      <c r="G194"/>
      <c r="H194"/>
      <c r="I194"/>
      <c r="J194"/>
      <c r="K194"/>
      <c r="L194"/>
    </row>
    <row r="195" spans="7:12" x14ac:dyDescent="0.3">
      <c r="G195"/>
      <c r="H195"/>
      <c r="I195"/>
      <c r="J195"/>
      <c r="K195"/>
      <c r="L195"/>
    </row>
    <row r="196" spans="7:12" x14ac:dyDescent="0.3">
      <c r="G196"/>
      <c r="H196"/>
      <c r="I196"/>
      <c r="J196"/>
      <c r="K196"/>
      <c r="L196"/>
    </row>
    <row r="197" spans="7:12" x14ac:dyDescent="0.3">
      <c r="G197"/>
      <c r="H197"/>
      <c r="I197"/>
      <c r="J197"/>
      <c r="K197"/>
      <c r="L197"/>
    </row>
    <row r="198" spans="7:12" x14ac:dyDescent="0.3">
      <c r="G198"/>
      <c r="H198"/>
      <c r="I198"/>
      <c r="J198"/>
      <c r="K198"/>
      <c r="L198"/>
    </row>
    <row r="199" spans="7:12" x14ac:dyDescent="0.3">
      <c r="G199"/>
      <c r="H199"/>
      <c r="I199"/>
      <c r="J199"/>
      <c r="K199"/>
      <c r="L199"/>
    </row>
    <row r="200" spans="7:12" x14ac:dyDescent="0.3">
      <c r="G200"/>
      <c r="H200"/>
      <c r="I200"/>
      <c r="J200"/>
      <c r="K200"/>
      <c r="L200"/>
    </row>
    <row r="201" spans="7:12" x14ac:dyDescent="0.3">
      <c r="G201"/>
      <c r="H201"/>
      <c r="I201"/>
      <c r="J201"/>
      <c r="K201"/>
      <c r="L201"/>
    </row>
    <row r="202" spans="7:12" x14ac:dyDescent="0.3">
      <c r="G202"/>
      <c r="H202"/>
      <c r="I202"/>
      <c r="J202"/>
      <c r="K202"/>
      <c r="L202"/>
    </row>
    <row r="203" spans="7:12" x14ac:dyDescent="0.3">
      <c r="G203"/>
      <c r="H203"/>
      <c r="I203"/>
      <c r="J203"/>
      <c r="K203"/>
      <c r="L203"/>
    </row>
    <row r="204" spans="7:12" x14ac:dyDescent="0.3">
      <c r="G204"/>
      <c r="H204"/>
      <c r="I204"/>
      <c r="J204"/>
      <c r="K204"/>
      <c r="L204"/>
    </row>
    <row r="205" spans="7:12" x14ac:dyDescent="0.3">
      <c r="G205"/>
      <c r="H205"/>
      <c r="I205"/>
      <c r="J205"/>
      <c r="K205"/>
      <c r="L205"/>
    </row>
    <row r="206" spans="7:12" x14ac:dyDescent="0.3">
      <c r="G206"/>
      <c r="H206"/>
      <c r="I206"/>
      <c r="J206"/>
      <c r="K206"/>
      <c r="L206"/>
    </row>
    <row r="207" spans="7:12" x14ac:dyDescent="0.3">
      <c r="G207"/>
      <c r="H207"/>
      <c r="I207"/>
      <c r="J207"/>
      <c r="K207"/>
      <c r="L207"/>
    </row>
    <row r="208" spans="7:12" x14ac:dyDescent="0.3">
      <c r="G208"/>
      <c r="H208"/>
      <c r="I208"/>
      <c r="J208"/>
      <c r="K208"/>
      <c r="L208"/>
    </row>
    <row r="209" spans="7:12" x14ac:dyDescent="0.3">
      <c r="G209"/>
      <c r="H209"/>
      <c r="I209"/>
      <c r="J209"/>
      <c r="K209"/>
      <c r="L209"/>
    </row>
    <row r="210" spans="7:12" x14ac:dyDescent="0.3">
      <c r="G210"/>
      <c r="H210"/>
      <c r="I210"/>
      <c r="J210"/>
      <c r="K210"/>
      <c r="L210"/>
    </row>
    <row r="211" spans="7:12" x14ac:dyDescent="0.3">
      <c r="G211"/>
      <c r="H211"/>
      <c r="I211"/>
      <c r="J211"/>
      <c r="K211"/>
      <c r="L211"/>
    </row>
    <row r="212" spans="7:12" x14ac:dyDescent="0.3">
      <c r="G212"/>
      <c r="H212"/>
      <c r="I212"/>
      <c r="J212"/>
      <c r="K212"/>
      <c r="L212"/>
    </row>
    <row r="213" spans="7:12" x14ac:dyDescent="0.3">
      <c r="G213"/>
      <c r="H213"/>
      <c r="I213"/>
      <c r="J213"/>
      <c r="K213"/>
      <c r="L213"/>
    </row>
    <row r="214" spans="7:12" x14ac:dyDescent="0.3">
      <c r="G214"/>
      <c r="H214"/>
      <c r="I214"/>
      <c r="J214"/>
      <c r="K214"/>
      <c r="L214"/>
    </row>
    <row r="215" spans="7:12" x14ac:dyDescent="0.3">
      <c r="G215"/>
      <c r="H215"/>
      <c r="I215"/>
      <c r="J215"/>
      <c r="K215"/>
      <c r="L215"/>
    </row>
    <row r="216" spans="7:12" x14ac:dyDescent="0.3">
      <c r="G216"/>
      <c r="H216"/>
      <c r="I216"/>
      <c r="J216"/>
      <c r="K216"/>
      <c r="L216"/>
    </row>
    <row r="217" spans="7:12" x14ac:dyDescent="0.3">
      <c r="G217"/>
      <c r="H217"/>
      <c r="I217"/>
      <c r="J217"/>
      <c r="K217"/>
      <c r="L217"/>
    </row>
    <row r="218" spans="7:12" x14ac:dyDescent="0.3">
      <c r="G218"/>
      <c r="H218"/>
      <c r="I218"/>
      <c r="J218"/>
      <c r="K218"/>
      <c r="L218"/>
    </row>
    <row r="219" spans="7:12" x14ac:dyDescent="0.3">
      <c r="G219"/>
      <c r="H219"/>
      <c r="I219"/>
      <c r="J219"/>
      <c r="K219"/>
      <c r="L219"/>
    </row>
    <row r="220" spans="7:12" x14ac:dyDescent="0.3">
      <c r="G220"/>
      <c r="H220"/>
      <c r="I220"/>
      <c r="J220"/>
      <c r="K220"/>
      <c r="L220"/>
    </row>
    <row r="221" spans="7:12" x14ac:dyDescent="0.3">
      <c r="G221"/>
      <c r="H221"/>
      <c r="I221"/>
      <c r="J221"/>
      <c r="K221"/>
      <c r="L221"/>
    </row>
    <row r="222" spans="7:12" x14ac:dyDescent="0.3">
      <c r="G222"/>
      <c r="H222"/>
      <c r="I222"/>
      <c r="J222"/>
      <c r="K222"/>
      <c r="L222"/>
    </row>
    <row r="223" spans="7:12" x14ac:dyDescent="0.3">
      <c r="G223"/>
      <c r="H223"/>
      <c r="I223"/>
      <c r="J223"/>
      <c r="K223"/>
      <c r="L223"/>
    </row>
    <row r="224" spans="7:12" x14ac:dyDescent="0.3">
      <c r="G224"/>
      <c r="H224"/>
      <c r="I224"/>
      <c r="J224"/>
      <c r="K224"/>
      <c r="L224"/>
    </row>
    <row r="225" spans="7:12" x14ac:dyDescent="0.3">
      <c r="G225"/>
      <c r="H225"/>
      <c r="I225"/>
      <c r="J225"/>
      <c r="K225"/>
      <c r="L225"/>
    </row>
    <row r="226" spans="7:12" x14ac:dyDescent="0.3">
      <c r="G226"/>
      <c r="H226"/>
      <c r="I226"/>
      <c r="J226"/>
      <c r="K226"/>
      <c r="L226"/>
    </row>
    <row r="227" spans="7:12" x14ac:dyDescent="0.3">
      <c r="G227"/>
      <c r="H227"/>
      <c r="I227"/>
      <c r="J227"/>
      <c r="K227"/>
      <c r="L227"/>
    </row>
    <row r="228" spans="7:12" x14ac:dyDescent="0.3">
      <c r="G228"/>
      <c r="H228"/>
      <c r="I228"/>
      <c r="J228"/>
      <c r="K228"/>
      <c r="L228"/>
    </row>
    <row r="229" spans="7:12" x14ac:dyDescent="0.3">
      <c r="G229"/>
      <c r="H229"/>
      <c r="I229"/>
      <c r="J229"/>
      <c r="K229"/>
      <c r="L229"/>
    </row>
    <row r="230" spans="7:12" x14ac:dyDescent="0.3">
      <c r="G230"/>
      <c r="H230"/>
      <c r="I230"/>
      <c r="J230"/>
      <c r="K230"/>
    </row>
    <row r="231" spans="7:12" x14ac:dyDescent="0.3">
      <c r="G231"/>
      <c r="H231"/>
      <c r="I231"/>
      <c r="J231"/>
      <c r="K231"/>
    </row>
    <row r="232" spans="7:12" x14ac:dyDescent="0.3">
      <c r="G232"/>
      <c r="H232"/>
      <c r="I232"/>
      <c r="J232"/>
      <c r="K232"/>
    </row>
    <row r="233" spans="7:12" x14ac:dyDescent="0.3">
      <c r="G233"/>
      <c r="H233"/>
      <c r="I233"/>
      <c r="J233"/>
      <c r="K233"/>
    </row>
    <row r="234" spans="7:12" x14ac:dyDescent="0.3">
      <c r="G234"/>
      <c r="H234"/>
      <c r="I234"/>
      <c r="J234"/>
      <c r="K234"/>
    </row>
    <row r="235" spans="7:12" x14ac:dyDescent="0.3">
      <c r="G235"/>
      <c r="H235"/>
      <c r="I235"/>
      <c r="J235"/>
      <c r="K235"/>
    </row>
    <row r="236" spans="7:12" x14ac:dyDescent="0.3">
      <c r="G236"/>
      <c r="H236"/>
      <c r="I236"/>
      <c r="J236"/>
      <c r="K236"/>
    </row>
    <row r="237" spans="7:12" x14ac:dyDescent="0.3">
      <c r="G237"/>
      <c r="H237"/>
      <c r="I237"/>
      <c r="J237"/>
      <c r="K237"/>
    </row>
    <row r="238" spans="7:12" x14ac:dyDescent="0.3">
      <c r="G238"/>
      <c r="H238"/>
      <c r="I238"/>
      <c r="J238"/>
      <c r="K238"/>
    </row>
    <row r="239" spans="7:12" x14ac:dyDescent="0.3">
      <c r="G239"/>
      <c r="H239"/>
      <c r="I239"/>
      <c r="J239"/>
      <c r="K239"/>
    </row>
    <row r="240" spans="7:12" x14ac:dyDescent="0.3">
      <c r="G240"/>
      <c r="H240"/>
      <c r="I240"/>
      <c r="J240"/>
      <c r="K240"/>
    </row>
    <row r="241" spans="7:11" x14ac:dyDescent="0.3">
      <c r="G241"/>
      <c r="H241"/>
      <c r="I241"/>
      <c r="J241"/>
      <c r="K241"/>
    </row>
    <row r="242" spans="7:11" x14ac:dyDescent="0.3">
      <c r="G242"/>
      <c r="H242"/>
      <c r="I242"/>
      <c r="J242"/>
      <c r="K242"/>
    </row>
    <row r="243" spans="7:11" x14ac:dyDescent="0.3">
      <c r="G243"/>
      <c r="H243"/>
      <c r="I243"/>
      <c r="J243"/>
      <c r="K243"/>
    </row>
    <row r="244" spans="7:11" x14ac:dyDescent="0.3">
      <c r="G244"/>
      <c r="H244"/>
      <c r="I244"/>
      <c r="J244"/>
      <c r="K244"/>
    </row>
    <row r="245" spans="7:11" x14ac:dyDescent="0.3">
      <c r="G245"/>
      <c r="H245"/>
      <c r="I245"/>
      <c r="J245"/>
      <c r="K245"/>
    </row>
    <row r="246" spans="7:11" x14ac:dyDescent="0.3">
      <c r="G246"/>
      <c r="H246"/>
      <c r="I246"/>
      <c r="J246"/>
      <c r="K246"/>
    </row>
    <row r="247" spans="7:11" x14ac:dyDescent="0.3">
      <c r="G247"/>
      <c r="H247"/>
      <c r="I247"/>
      <c r="J247"/>
      <c r="K247"/>
    </row>
    <row r="248" spans="7:11" x14ac:dyDescent="0.3">
      <c r="G248"/>
      <c r="H248"/>
      <c r="I248"/>
      <c r="J248"/>
      <c r="K248"/>
    </row>
    <row r="249" spans="7:11" x14ac:dyDescent="0.3">
      <c r="G249"/>
      <c r="H249"/>
      <c r="I249"/>
      <c r="J249"/>
      <c r="K249"/>
    </row>
    <row r="250" spans="7:11" x14ac:dyDescent="0.3">
      <c r="G250"/>
      <c r="H250"/>
      <c r="I250"/>
      <c r="J250"/>
      <c r="K250"/>
    </row>
    <row r="251" spans="7:11" x14ac:dyDescent="0.3">
      <c r="G251"/>
      <c r="H251"/>
      <c r="I251"/>
      <c r="J251"/>
      <c r="K251"/>
    </row>
    <row r="252" spans="7:11" x14ac:dyDescent="0.3">
      <c r="G252"/>
      <c r="H252"/>
      <c r="I252"/>
      <c r="J252"/>
      <c r="K252"/>
    </row>
    <row r="253" spans="7:11" x14ac:dyDescent="0.3">
      <c r="G253"/>
      <c r="H253"/>
      <c r="I253"/>
      <c r="J253"/>
      <c r="K253"/>
    </row>
    <row r="254" spans="7:11" x14ac:dyDescent="0.3">
      <c r="G254"/>
      <c r="H254"/>
      <c r="I254"/>
      <c r="J254"/>
      <c r="K254"/>
    </row>
    <row r="255" spans="7:11" x14ac:dyDescent="0.3">
      <c r="G255"/>
      <c r="H255"/>
      <c r="I255"/>
      <c r="J255"/>
      <c r="K255"/>
    </row>
    <row r="256" spans="7:11" x14ac:dyDescent="0.3">
      <c r="G256"/>
      <c r="H256"/>
      <c r="I256"/>
      <c r="J256"/>
      <c r="K256"/>
    </row>
    <row r="257" spans="7:11" x14ac:dyDescent="0.3">
      <c r="G257"/>
      <c r="H257"/>
      <c r="I257"/>
      <c r="J257"/>
      <c r="K257"/>
    </row>
    <row r="258" spans="7:11" x14ac:dyDescent="0.3">
      <c r="G258"/>
      <c r="H258"/>
      <c r="I258"/>
      <c r="J258"/>
      <c r="K258"/>
    </row>
    <row r="259" spans="7:11" x14ac:dyDescent="0.3">
      <c r="G259"/>
      <c r="H259"/>
      <c r="I259"/>
      <c r="J259"/>
      <c r="K259"/>
    </row>
    <row r="260" spans="7:11" x14ac:dyDescent="0.3">
      <c r="G260"/>
      <c r="H260"/>
      <c r="I260"/>
      <c r="J260"/>
      <c r="K260"/>
    </row>
    <row r="261" spans="7:11" x14ac:dyDescent="0.3">
      <c r="G261"/>
      <c r="H261"/>
      <c r="I261"/>
      <c r="J261"/>
      <c r="K261"/>
    </row>
    <row r="262" spans="7:11" x14ac:dyDescent="0.3">
      <c r="G262"/>
      <c r="H262"/>
      <c r="I262"/>
      <c r="J262"/>
      <c r="K262"/>
    </row>
    <row r="263" spans="7:11" x14ac:dyDescent="0.3">
      <c r="G263"/>
      <c r="H263"/>
      <c r="I263"/>
      <c r="J263"/>
      <c r="K263"/>
    </row>
    <row r="264" spans="7:11" x14ac:dyDescent="0.3">
      <c r="G264"/>
      <c r="H264"/>
      <c r="I264"/>
      <c r="J264"/>
      <c r="K264"/>
    </row>
    <row r="265" spans="7:11" x14ac:dyDescent="0.3">
      <c r="G265"/>
      <c r="H265"/>
      <c r="I265"/>
      <c r="J265"/>
      <c r="K265"/>
    </row>
    <row r="266" spans="7:11" x14ac:dyDescent="0.3">
      <c r="G266"/>
      <c r="H266"/>
      <c r="I266"/>
      <c r="J266"/>
      <c r="K266"/>
    </row>
    <row r="267" spans="7:11" x14ac:dyDescent="0.3">
      <c r="G267"/>
      <c r="H267"/>
      <c r="I267"/>
      <c r="J267"/>
      <c r="K267"/>
    </row>
    <row r="268" spans="7:11" x14ac:dyDescent="0.3">
      <c r="G268"/>
      <c r="H268"/>
      <c r="I268"/>
      <c r="J268"/>
      <c r="K268"/>
    </row>
    <row r="269" spans="7:11" x14ac:dyDescent="0.3">
      <c r="G269"/>
      <c r="H269"/>
      <c r="I269"/>
      <c r="J269"/>
      <c r="K269"/>
    </row>
    <row r="270" spans="7:11" x14ac:dyDescent="0.3">
      <c r="G270"/>
      <c r="H270"/>
      <c r="I270"/>
      <c r="J270"/>
      <c r="K270"/>
    </row>
    <row r="271" spans="7:11" x14ac:dyDescent="0.3">
      <c r="G271"/>
      <c r="H271"/>
      <c r="I271"/>
      <c r="J271"/>
      <c r="K271"/>
    </row>
    <row r="272" spans="7:11" x14ac:dyDescent="0.3">
      <c r="G272"/>
      <c r="H272"/>
      <c r="I272"/>
      <c r="J272"/>
      <c r="K272"/>
    </row>
    <row r="273" spans="7:11" x14ac:dyDescent="0.3">
      <c r="G273"/>
      <c r="H273"/>
      <c r="I273"/>
      <c r="J273"/>
      <c r="K273"/>
    </row>
    <row r="274" spans="7:11" x14ac:dyDescent="0.3">
      <c r="G274"/>
      <c r="H274"/>
      <c r="I274"/>
      <c r="J274"/>
      <c r="K274"/>
    </row>
    <row r="275" spans="7:11" x14ac:dyDescent="0.3">
      <c r="G275"/>
      <c r="H275"/>
      <c r="I275"/>
      <c r="J275"/>
      <c r="K275"/>
    </row>
    <row r="276" spans="7:11" x14ac:dyDescent="0.3">
      <c r="G276"/>
      <c r="H276"/>
      <c r="I276"/>
      <c r="J276"/>
      <c r="K276"/>
    </row>
    <row r="277" spans="7:11" x14ac:dyDescent="0.3">
      <c r="G277"/>
      <c r="H277"/>
      <c r="I277"/>
      <c r="J277"/>
      <c r="K277"/>
    </row>
    <row r="278" spans="7:11" x14ac:dyDescent="0.3">
      <c r="G278"/>
      <c r="H278"/>
      <c r="I278"/>
      <c r="J278"/>
      <c r="K278"/>
    </row>
    <row r="279" spans="7:11" x14ac:dyDescent="0.3">
      <c r="G279"/>
      <c r="H279"/>
      <c r="I279"/>
      <c r="J279"/>
      <c r="K279"/>
    </row>
    <row r="280" spans="7:11" x14ac:dyDescent="0.3">
      <c r="G280"/>
      <c r="H280"/>
      <c r="I280"/>
      <c r="J280"/>
      <c r="K280"/>
    </row>
    <row r="281" spans="7:11" x14ac:dyDescent="0.3">
      <c r="G281"/>
      <c r="H281"/>
      <c r="I281"/>
      <c r="J281"/>
      <c r="K281"/>
    </row>
    <row r="282" spans="7:11" x14ac:dyDescent="0.3">
      <c r="G282"/>
      <c r="H282"/>
      <c r="I282"/>
      <c r="J282"/>
      <c r="K282"/>
    </row>
    <row r="283" spans="7:11" x14ac:dyDescent="0.3">
      <c r="G283"/>
      <c r="H283"/>
      <c r="I283"/>
      <c r="J283"/>
      <c r="K283"/>
    </row>
    <row r="284" spans="7:11" x14ac:dyDescent="0.3">
      <c r="G284"/>
      <c r="H284"/>
      <c r="I284"/>
      <c r="J284"/>
      <c r="K284"/>
    </row>
    <row r="285" spans="7:11" x14ac:dyDescent="0.3">
      <c r="G285"/>
      <c r="H285"/>
      <c r="I285"/>
      <c r="J285"/>
      <c r="K285"/>
    </row>
    <row r="286" spans="7:11" x14ac:dyDescent="0.3">
      <c r="G286"/>
      <c r="H286"/>
      <c r="I286"/>
      <c r="J286"/>
      <c r="K286"/>
    </row>
    <row r="287" spans="7:11" x14ac:dyDescent="0.3">
      <c r="G287"/>
      <c r="H287"/>
      <c r="I287"/>
      <c r="J287"/>
      <c r="K287"/>
    </row>
    <row r="288" spans="7:11" x14ac:dyDescent="0.3">
      <c r="G288"/>
      <c r="H288"/>
      <c r="I288"/>
      <c r="J288"/>
      <c r="K288"/>
    </row>
    <row r="289" spans="7:11" x14ac:dyDescent="0.3">
      <c r="G289"/>
      <c r="H289"/>
      <c r="I289"/>
      <c r="J289"/>
      <c r="K289"/>
    </row>
    <row r="290" spans="7:11" x14ac:dyDescent="0.3">
      <c r="G290"/>
      <c r="H290"/>
      <c r="I290"/>
      <c r="J290"/>
      <c r="K290"/>
    </row>
    <row r="291" spans="7:11" x14ac:dyDescent="0.3">
      <c r="G291"/>
      <c r="H291"/>
      <c r="I291"/>
      <c r="J291"/>
      <c r="K291"/>
    </row>
    <row r="292" spans="7:11" x14ac:dyDescent="0.3">
      <c r="G292"/>
      <c r="H292"/>
      <c r="I292"/>
      <c r="J292"/>
      <c r="K292"/>
    </row>
    <row r="293" spans="7:11" x14ac:dyDescent="0.3">
      <c r="G293"/>
      <c r="H293"/>
      <c r="I293"/>
      <c r="J293"/>
      <c r="K293"/>
    </row>
    <row r="294" spans="7:11" x14ac:dyDescent="0.3">
      <c r="G294"/>
      <c r="H294"/>
      <c r="I294"/>
      <c r="J294"/>
      <c r="K294"/>
    </row>
    <row r="295" spans="7:11" x14ac:dyDescent="0.3">
      <c r="G295"/>
      <c r="H295"/>
      <c r="I295"/>
      <c r="J295"/>
      <c r="K295"/>
    </row>
    <row r="296" spans="7:11" x14ac:dyDescent="0.3">
      <c r="G296"/>
      <c r="H296"/>
      <c r="I296"/>
      <c r="J296"/>
      <c r="K296"/>
    </row>
    <row r="297" spans="7:11" x14ac:dyDescent="0.3">
      <c r="G297"/>
      <c r="H297"/>
      <c r="I297"/>
      <c r="J297"/>
      <c r="K297"/>
    </row>
    <row r="298" spans="7:11" x14ac:dyDescent="0.3">
      <c r="G298"/>
      <c r="H298"/>
      <c r="I298"/>
      <c r="J298"/>
      <c r="K298"/>
    </row>
    <row r="299" spans="7:11" x14ac:dyDescent="0.3">
      <c r="G299"/>
      <c r="H299"/>
      <c r="I299"/>
      <c r="J299"/>
      <c r="K299"/>
    </row>
    <row r="300" spans="7:11" x14ac:dyDescent="0.3">
      <c r="G300"/>
      <c r="H300"/>
      <c r="I300"/>
      <c r="J300"/>
      <c r="K300"/>
    </row>
    <row r="301" spans="7:11" x14ac:dyDescent="0.3">
      <c r="G301"/>
      <c r="H301"/>
      <c r="I301"/>
      <c r="J301"/>
      <c r="K301"/>
    </row>
    <row r="302" spans="7:11" x14ac:dyDescent="0.3">
      <c r="G302"/>
      <c r="H302"/>
      <c r="I302"/>
      <c r="J302"/>
      <c r="K302"/>
    </row>
    <row r="303" spans="7:11" x14ac:dyDescent="0.3">
      <c r="G303"/>
      <c r="H303"/>
      <c r="I303"/>
      <c r="J303"/>
      <c r="K303"/>
    </row>
    <row r="304" spans="7:11" x14ac:dyDescent="0.3">
      <c r="G304"/>
      <c r="H304"/>
      <c r="I304"/>
      <c r="J304"/>
      <c r="K304"/>
    </row>
    <row r="305" spans="7:11" x14ac:dyDescent="0.3">
      <c r="G305"/>
      <c r="H305"/>
      <c r="I305"/>
      <c r="J305"/>
      <c r="K305"/>
    </row>
    <row r="306" spans="7:11" x14ac:dyDescent="0.3">
      <c r="G306"/>
      <c r="H306"/>
      <c r="I306"/>
      <c r="J306"/>
      <c r="K306"/>
    </row>
    <row r="307" spans="7:11" x14ac:dyDescent="0.3">
      <c r="G307"/>
      <c r="H307"/>
      <c r="I307"/>
      <c r="J307"/>
      <c r="K307"/>
    </row>
    <row r="308" spans="7:11" x14ac:dyDescent="0.3">
      <c r="G308"/>
      <c r="H308"/>
      <c r="I308"/>
      <c r="J308"/>
      <c r="K308"/>
    </row>
    <row r="309" spans="7:11" x14ac:dyDescent="0.3">
      <c r="G309"/>
      <c r="H309"/>
      <c r="I309"/>
      <c r="J309"/>
      <c r="K309"/>
    </row>
    <row r="310" spans="7:11" x14ac:dyDescent="0.3">
      <c r="G310"/>
      <c r="H310"/>
      <c r="I310"/>
      <c r="J310"/>
      <c r="K310"/>
    </row>
    <row r="311" spans="7:11" x14ac:dyDescent="0.3">
      <c r="G311"/>
      <c r="H311"/>
      <c r="I311"/>
      <c r="J311"/>
      <c r="K311"/>
    </row>
    <row r="312" spans="7:11" x14ac:dyDescent="0.3">
      <c r="G312"/>
      <c r="H312"/>
      <c r="I312"/>
      <c r="J312"/>
      <c r="K312"/>
    </row>
    <row r="313" spans="7:11" x14ac:dyDescent="0.3">
      <c r="G313"/>
      <c r="H313"/>
      <c r="I313"/>
      <c r="J313"/>
      <c r="K313"/>
    </row>
    <row r="314" spans="7:11" x14ac:dyDescent="0.3">
      <c r="G314"/>
      <c r="H314"/>
      <c r="I314"/>
      <c r="J314"/>
      <c r="K314"/>
    </row>
    <row r="315" spans="7:11" x14ac:dyDescent="0.3">
      <c r="G315"/>
      <c r="H315"/>
      <c r="I315"/>
      <c r="J315"/>
      <c r="K315"/>
    </row>
    <row r="316" spans="7:11" x14ac:dyDescent="0.3">
      <c r="G316"/>
      <c r="H316"/>
      <c r="I316"/>
      <c r="J316"/>
      <c r="K316"/>
    </row>
    <row r="317" spans="7:11" x14ac:dyDescent="0.3">
      <c r="G317"/>
      <c r="H317"/>
      <c r="I317"/>
      <c r="J317"/>
      <c r="K317"/>
    </row>
    <row r="318" spans="7:11" x14ac:dyDescent="0.3">
      <c r="G318"/>
      <c r="H318"/>
      <c r="I318"/>
      <c r="J318"/>
      <c r="K318"/>
    </row>
    <row r="319" spans="7:11" x14ac:dyDescent="0.3">
      <c r="G319"/>
      <c r="H319"/>
      <c r="I319"/>
      <c r="J319"/>
      <c r="K319"/>
    </row>
    <row r="320" spans="7:11" x14ac:dyDescent="0.3">
      <c r="G320"/>
      <c r="H320"/>
      <c r="I320"/>
      <c r="J320"/>
      <c r="K320"/>
    </row>
    <row r="321" spans="7:11" x14ac:dyDescent="0.3">
      <c r="G321"/>
      <c r="H321"/>
      <c r="I321"/>
      <c r="J321"/>
      <c r="K321"/>
    </row>
    <row r="322" spans="7:11" x14ac:dyDescent="0.3">
      <c r="G322"/>
      <c r="H322"/>
      <c r="I322"/>
      <c r="J322"/>
      <c r="K322"/>
    </row>
    <row r="323" spans="7:11" x14ac:dyDescent="0.3">
      <c r="G323"/>
      <c r="H323"/>
      <c r="I323"/>
      <c r="J323"/>
      <c r="K323"/>
    </row>
    <row r="324" spans="7:11" x14ac:dyDescent="0.3">
      <c r="G324"/>
      <c r="H324"/>
      <c r="I324"/>
      <c r="J324"/>
      <c r="K324"/>
    </row>
    <row r="325" spans="7:11" x14ac:dyDescent="0.3">
      <c r="G325"/>
      <c r="H325"/>
      <c r="I325"/>
      <c r="J325"/>
      <c r="K325"/>
    </row>
    <row r="326" spans="7:11" x14ac:dyDescent="0.3">
      <c r="G326"/>
      <c r="H326"/>
      <c r="I326"/>
      <c r="J326"/>
      <c r="K326"/>
    </row>
    <row r="327" spans="7:11" x14ac:dyDescent="0.3">
      <c r="G327"/>
      <c r="H327"/>
      <c r="I327"/>
      <c r="J327"/>
      <c r="K327"/>
    </row>
    <row r="328" spans="7:11" x14ac:dyDescent="0.3">
      <c r="G328"/>
      <c r="H328"/>
      <c r="I328"/>
      <c r="J328"/>
      <c r="K328"/>
    </row>
    <row r="329" spans="7:11" x14ac:dyDescent="0.3">
      <c r="G329"/>
      <c r="H329"/>
      <c r="I329"/>
      <c r="J329"/>
      <c r="K329"/>
    </row>
    <row r="330" spans="7:11" x14ac:dyDescent="0.3">
      <c r="G330"/>
      <c r="H330"/>
      <c r="I330"/>
      <c r="J330"/>
      <c r="K330"/>
    </row>
    <row r="331" spans="7:11" x14ac:dyDescent="0.3">
      <c r="G331"/>
      <c r="H331"/>
      <c r="I331"/>
      <c r="J331"/>
      <c r="K331"/>
    </row>
    <row r="332" spans="7:11" x14ac:dyDescent="0.3">
      <c r="G332"/>
      <c r="H332"/>
      <c r="I332"/>
      <c r="J332"/>
      <c r="K332"/>
    </row>
    <row r="333" spans="7:11" x14ac:dyDescent="0.3">
      <c r="G333"/>
      <c r="H333"/>
      <c r="I333"/>
      <c r="J333"/>
      <c r="K333"/>
    </row>
    <row r="334" spans="7:11" x14ac:dyDescent="0.3">
      <c r="G334"/>
      <c r="H334"/>
      <c r="I334"/>
      <c r="J334"/>
      <c r="K334"/>
    </row>
    <row r="335" spans="7:11" x14ac:dyDescent="0.3">
      <c r="G335"/>
      <c r="H335"/>
      <c r="I335"/>
      <c r="J335"/>
      <c r="K335"/>
    </row>
    <row r="336" spans="7:11" x14ac:dyDescent="0.3">
      <c r="G336"/>
      <c r="H336"/>
      <c r="I336"/>
      <c r="J336"/>
      <c r="K336"/>
    </row>
    <row r="337" spans="7:11" x14ac:dyDescent="0.3">
      <c r="G337"/>
      <c r="H337"/>
      <c r="I337"/>
      <c r="J337"/>
      <c r="K337"/>
    </row>
    <row r="338" spans="7:11" x14ac:dyDescent="0.3">
      <c r="G338"/>
      <c r="H338"/>
      <c r="I338"/>
      <c r="J338"/>
      <c r="K338"/>
    </row>
    <row r="339" spans="7:11" x14ac:dyDescent="0.3">
      <c r="G339"/>
      <c r="H339"/>
      <c r="I339"/>
      <c r="J339"/>
      <c r="K339"/>
    </row>
    <row r="340" spans="7:11" x14ac:dyDescent="0.3">
      <c r="G340"/>
      <c r="H340"/>
      <c r="I340"/>
      <c r="J340"/>
      <c r="K340"/>
    </row>
    <row r="341" spans="7:11" x14ac:dyDescent="0.3">
      <c r="G341"/>
      <c r="H341"/>
      <c r="I341"/>
      <c r="J341"/>
      <c r="K341"/>
    </row>
    <row r="342" spans="7:11" x14ac:dyDescent="0.3">
      <c r="G342"/>
      <c r="H342"/>
      <c r="I342"/>
      <c r="J342"/>
      <c r="K342"/>
    </row>
    <row r="343" spans="7:11" x14ac:dyDescent="0.3">
      <c r="G343"/>
      <c r="H343"/>
      <c r="I343"/>
      <c r="J343"/>
      <c r="K343"/>
    </row>
    <row r="344" spans="7:11" x14ac:dyDescent="0.3">
      <c r="G344"/>
      <c r="H344"/>
      <c r="I344"/>
      <c r="J344"/>
      <c r="K344"/>
    </row>
    <row r="345" spans="7:11" x14ac:dyDescent="0.3">
      <c r="G345"/>
      <c r="H345"/>
      <c r="I345"/>
      <c r="J345"/>
      <c r="K345"/>
    </row>
    <row r="346" spans="7:11" x14ac:dyDescent="0.3">
      <c r="G346"/>
      <c r="H346"/>
      <c r="I346"/>
      <c r="J346"/>
      <c r="K346"/>
    </row>
    <row r="347" spans="7:11" x14ac:dyDescent="0.3">
      <c r="G347"/>
      <c r="H347"/>
      <c r="I347"/>
      <c r="J347"/>
      <c r="K347"/>
    </row>
    <row r="348" spans="7:11" x14ac:dyDescent="0.3">
      <c r="G348"/>
      <c r="H348"/>
      <c r="I348"/>
      <c r="J348"/>
      <c r="K348"/>
    </row>
    <row r="349" spans="7:11" x14ac:dyDescent="0.3">
      <c r="G349"/>
      <c r="H349"/>
      <c r="I349"/>
      <c r="J349"/>
      <c r="K349"/>
    </row>
    <row r="350" spans="7:11" x14ac:dyDescent="0.3">
      <c r="G350"/>
      <c r="H350"/>
      <c r="I350"/>
      <c r="J350"/>
      <c r="K350"/>
    </row>
    <row r="351" spans="7:11" x14ac:dyDescent="0.3">
      <c r="G351"/>
      <c r="H351"/>
      <c r="I351"/>
      <c r="J351"/>
      <c r="K351"/>
    </row>
    <row r="352" spans="7:11" x14ac:dyDescent="0.3">
      <c r="G352"/>
      <c r="H352"/>
      <c r="I352"/>
      <c r="J352"/>
      <c r="K352"/>
    </row>
    <row r="353" spans="7:11" x14ac:dyDescent="0.3">
      <c r="G353"/>
      <c r="H353"/>
      <c r="I353"/>
      <c r="J353"/>
      <c r="K353"/>
    </row>
    <row r="354" spans="7:11" x14ac:dyDescent="0.3">
      <c r="G354"/>
      <c r="H354"/>
      <c r="I354"/>
      <c r="J354"/>
      <c r="K354"/>
    </row>
    <row r="355" spans="7:11" x14ac:dyDescent="0.3">
      <c r="G355"/>
      <c r="H355"/>
      <c r="I355"/>
      <c r="J355"/>
      <c r="K355"/>
    </row>
    <row r="356" spans="7:11" x14ac:dyDescent="0.3">
      <c r="G356"/>
      <c r="H356"/>
      <c r="I356"/>
      <c r="J356"/>
      <c r="K356"/>
    </row>
    <row r="357" spans="7:11" x14ac:dyDescent="0.3">
      <c r="G357"/>
      <c r="H357"/>
      <c r="I357"/>
      <c r="J357"/>
      <c r="K357"/>
    </row>
    <row r="358" spans="7:11" x14ac:dyDescent="0.3">
      <c r="G358"/>
      <c r="H358"/>
      <c r="I358"/>
      <c r="J358"/>
      <c r="K358"/>
    </row>
    <row r="359" spans="7:11" x14ac:dyDescent="0.3">
      <c r="G359"/>
      <c r="H359"/>
      <c r="I359"/>
      <c r="J359"/>
      <c r="K359"/>
    </row>
    <row r="360" spans="7:11" x14ac:dyDescent="0.3">
      <c r="G360"/>
      <c r="H360"/>
      <c r="I360"/>
      <c r="J360"/>
      <c r="K360"/>
    </row>
    <row r="361" spans="7:11" x14ac:dyDescent="0.3">
      <c r="G361"/>
      <c r="H361"/>
      <c r="I361"/>
      <c r="J361"/>
      <c r="K361"/>
    </row>
    <row r="362" spans="7:11" x14ac:dyDescent="0.3">
      <c r="G362"/>
      <c r="H362"/>
      <c r="I362"/>
      <c r="J362"/>
      <c r="K362"/>
    </row>
    <row r="363" spans="7:11" x14ac:dyDescent="0.3">
      <c r="G363"/>
      <c r="H363"/>
      <c r="I363"/>
      <c r="J363"/>
      <c r="K363"/>
    </row>
    <row r="364" spans="7:11" x14ac:dyDescent="0.3">
      <c r="G364"/>
      <c r="H364"/>
      <c r="I364"/>
      <c r="J364"/>
      <c r="K364"/>
    </row>
    <row r="365" spans="7:11" x14ac:dyDescent="0.3">
      <c r="G365"/>
      <c r="H365"/>
      <c r="I365"/>
      <c r="J365"/>
      <c r="K365"/>
    </row>
    <row r="366" spans="7:11" x14ac:dyDescent="0.3">
      <c r="G366"/>
      <c r="H366"/>
      <c r="I366"/>
      <c r="J366"/>
      <c r="K366"/>
    </row>
    <row r="367" spans="7:11" x14ac:dyDescent="0.3">
      <c r="G367"/>
      <c r="H367"/>
      <c r="I367"/>
      <c r="J367"/>
      <c r="K367"/>
    </row>
    <row r="368" spans="7:11" x14ac:dyDescent="0.3">
      <c r="G368"/>
      <c r="H368"/>
      <c r="I368"/>
      <c r="J368"/>
      <c r="K368"/>
    </row>
    <row r="369" spans="7:11" x14ac:dyDescent="0.3">
      <c r="G369"/>
      <c r="H369"/>
      <c r="I369"/>
      <c r="J369"/>
      <c r="K369"/>
    </row>
    <row r="370" spans="7:11" x14ac:dyDescent="0.3">
      <c r="G370"/>
      <c r="H370"/>
      <c r="I370"/>
      <c r="J370"/>
      <c r="K370"/>
    </row>
    <row r="371" spans="7:11" x14ac:dyDescent="0.3">
      <c r="G371"/>
      <c r="H371"/>
      <c r="I371"/>
      <c r="J371"/>
      <c r="K371"/>
    </row>
    <row r="372" spans="7:11" x14ac:dyDescent="0.3">
      <c r="G372"/>
      <c r="H372"/>
      <c r="I372"/>
      <c r="J372"/>
      <c r="K372"/>
    </row>
    <row r="373" spans="7:11" x14ac:dyDescent="0.3">
      <c r="G373"/>
      <c r="H373"/>
      <c r="I373"/>
      <c r="J373"/>
      <c r="K373"/>
    </row>
    <row r="374" spans="7:11" x14ac:dyDescent="0.3">
      <c r="G374"/>
      <c r="H374"/>
      <c r="I374"/>
      <c r="J374"/>
      <c r="K374"/>
    </row>
    <row r="375" spans="7:11" x14ac:dyDescent="0.3">
      <c r="G375"/>
      <c r="H375"/>
      <c r="I375"/>
      <c r="J375"/>
      <c r="K375"/>
    </row>
    <row r="376" spans="7:11" x14ac:dyDescent="0.3">
      <c r="G376"/>
      <c r="H376"/>
      <c r="I376"/>
      <c r="J376"/>
      <c r="K376"/>
    </row>
    <row r="377" spans="7:11" x14ac:dyDescent="0.3">
      <c r="G377"/>
      <c r="H377"/>
      <c r="I377"/>
      <c r="J377"/>
      <c r="K377"/>
    </row>
    <row r="378" spans="7:11" x14ac:dyDescent="0.3">
      <c r="G378"/>
      <c r="H378"/>
      <c r="I378"/>
      <c r="J378"/>
      <c r="K378"/>
    </row>
    <row r="379" spans="7:11" x14ac:dyDescent="0.3">
      <c r="G379"/>
      <c r="H379"/>
      <c r="I379"/>
      <c r="J379"/>
      <c r="K379"/>
    </row>
    <row r="380" spans="7:11" x14ac:dyDescent="0.3">
      <c r="G380"/>
      <c r="H380"/>
      <c r="I380"/>
      <c r="J380"/>
      <c r="K380"/>
    </row>
    <row r="381" spans="7:11" x14ac:dyDescent="0.3">
      <c r="G381"/>
      <c r="H381"/>
      <c r="I381"/>
      <c r="J381"/>
      <c r="K381"/>
    </row>
    <row r="382" spans="7:11" x14ac:dyDescent="0.3">
      <c r="G382"/>
      <c r="H382"/>
      <c r="I382"/>
      <c r="J382"/>
      <c r="K382"/>
    </row>
    <row r="383" spans="7:11" x14ac:dyDescent="0.3">
      <c r="G383"/>
      <c r="H383"/>
      <c r="I383"/>
      <c r="J383"/>
      <c r="K383"/>
    </row>
    <row r="384" spans="7:11" x14ac:dyDescent="0.3">
      <c r="G384"/>
      <c r="H384"/>
      <c r="I384"/>
      <c r="J384"/>
      <c r="K384"/>
    </row>
    <row r="385" spans="7:11" x14ac:dyDescent="0.3">
      <c r="G385"/>
      <c r="H385"/>
      <c r="I385"/>
      <c r="J385"/>
      <c r="K385"/>
    </row>
    <row r="386" spans="7:11" x14ac:dyDescent="0.3">
      <c r="G386"/>
      <c r="H386"/>
      <c r="I386"/>
      <c r="J386"/>
      <c r="K386"/>
    </row>
    <row r="387" spans="7:11" x14ac:dyDescent="0.3">
      <c r="G387"/>
      <c r="H387"/>
      <c r="I387"/>
      <c r="J387"/>
      <c r="K387"/>
    </row>
    <row r="388" spans="7:11" x14ac:dyDescent="0.3">
      <c r="G388"/>
      <c r="H388"/>
      <c r="I388"/>
      <c r="J388"/>
      <c r="K388"/>
    </row>
    <row r="389" spans="7:11" x14ac:dyDescent="0.3">
      <c r="G389"/>
      <c r="H389"/>
      <c r="I389"/>
      <c r="J389"/>
      <c r="K389"/>
    </row>
    <row r="390" spans="7:11" x14ac:dyDescent="0.3">
      <c r="G390"/>
      <c r="H390"/>
      <c r="I390"/>
      <c r="J390"/>
      <c r="K390"/>
    </row>
    <row r="391" spans="7:11" x14ac:dyDescent="0.3">
      <c r="G391"/>
      <c r="H391"/>
      <c r="I391"/>
      <c r="J391"/>
      <c r="K391"/>
    </row>
    <row r="392" spans="7:11" x14ac:dyDescent="0.3">
      <c r="G392"/>
      <c r="H392"/>
      <c r="I392"/>
      <c r="J392"/>
      <c r="K392"/>
    </row>
    <row r="393" spans="7:11" x14ac:dyDescent="0.3">
      <c r="G393"/>
      <c r="H393"/>
      <c r="I393"/>
      <c r="J393"/>
      <c r="K393"/>
    </row>
    <row r="394" spans="7:11" x14ac:dyDescent="0.3">
      <c r="G394"/>
      <c r="H394"/>
      <c r="I394"/>
      <c r="J394"/>
      <c r="K394"/>
    </row>
    <row r="395" spans="7:11" x14ac:dyDescent="0.3">
      <c r="G395"/>
      <c r="H395"/>
      <c r="I395"/>
      <c r="J395"/>
      <c r="K395"/>
    </row>
    <row r="396" spans="7:11" x14ac:dyDescent="0.3">
      <c r="G396"/>
      <c r="H396"/>
      <c r="I396"/>
      <c r="J396"/>
      <c r="K396"/>
    </row>
    <row r="397" spans="7:11" x14ac:dyDescent="0.3">
      <c r="G397"/>
      <c r="H397"/>
      <c r="I397"/>
      <c r="J397"/>
    </row>
    <row r="398" spans="7:11" x14ac:dyDescent="0.3">
      <c r="G398"/>
      <c r="H398"/>
      <c r="I398"/>
      <c r="J398"/>
    </row>
    <row r="399" spans="7:11" x14ac:dyDescent="0.3">
      <c r="G399"/>
      <c r="H399"/>
      <c r="I399"/>
      <c r="J399"/>
    </row>
    <row r="400" spans="7:11" x14ac:dyDescent="0.3">
      <c r="G400"/>
      <c r="H400"/>
      <c r="I400"/>
      <c r="J400"/>
    </row>
    <row r="401" spans="7:10" x14ac:dyDescent="0.3">
      <c r="G401"/>
      <c r="H401"/>
      <c r="I401"/>
      <c r="J401"/>
    </row>
    <row r="402" spans="7:10" x14ac:dyDescent="0.3">
      <c r="G402"/>
      <c r="H402"/>
      <c r="I402"/>
      <c r="J402"/>
    </row>
    <row r="403" spans="7:10" x14ac:dyDescent="0.3">
      <c r="G403"/>
      <c r="H403"/>
      <c r="I403"/>
      <c r="J403"/>
    </row>
    <row r="404" spans="7:10" x14ac:dyDescent="0.3">
      <c r="G404"/>
      <c r="H404"/>
      <c r="I404"/>
      <c r="J404"/>
    </row>
    <row r="405" spans="7:10" x14ac:dyDescent="0.3">
      <c r="G405"/>
      <c r="H405"/>
      <c r="I405"/>
      <c r="J405"/>
    </row>
    <row r="406" spans="7:10" x14ac:dyDescent="0.3">
      <c r="G406"/>
      <c r="H406"/>
      <c r="I406"/>
      <c r="J406"/>
    </row>
    <row r="407" spans="7:10" x14ac:dyDescent="0.3">
      <c r="G407"/>
      <c r="H407"/>
      <c r="I407"/>
      <c r="J407"/>
    </row>
    <row r="408" spans="7:10" x14ac:dyDescent="0.3">
      <c r="G408"/>
      <c r="H408"/>
      <c r="I408"/>
      <c r="J408"/>
    </row>
    <row r="409" spans="7:10" x14ac:dyDescent="0.3">
      <c r="G409"/>
      <c r="H409"/>
      <c r="I409"/>
      <c r="J409"/>
    </row>
    <row r="410" spans="7:10" x14ac:dyDescent="0.3">
      <c r="G410"/>
      <c r="H410"/>
      <c r="I410"/>
      <c r="J410"/>
    </row>
    <row r="411" spans="7:10" x14ac:dyDescent="0.3">
      <c r="G411"/>
      <c r="H411"/>
      <c r="I411"/>
      <c r="J411"/>
    </row>
    <row r="412" spans="7:10" x14ac:dyDescent="0.3">
      <c r="G412"/>
      <c r="H412"/>
      <c r="I412"/>
      <c r="J412"/>
    </row>
    <row r="413" spans="7:10" x14ac:dyDescent="0.3">
      <c r="G413"/>
      <c r="H413"/>
      <c r="I413"/>
      <c r="J413"/>
    </row>
    <row r="414" spans="7:10" x14ac:dyDescent="0.3">
      <c r="G414"/>
      <c r="H414"/>
      <c r="I414"/>
      <c r="J414"/>
    </row>
    <row r="415" spans="7:10" x14ac:dyDescent="0.3">
      <c r="G415"/>
      <c r="H415"/>
      <c r="I415"/>
      <c r="J415"/>
    </row>
    <row r="416" spans="7:10" x14ac:dyDescent="0.3">
      <c r="G416"/>
      <c r="H416"/>
      <c r="I416"/>
      <c r="J416"/>
    </row>
    <row r="417" spans="7:10" x14ac:dyDescent="0.3">
      <c r="G417"/>
      <c r="H417"/>
      <c r="I417"/>
      <c r="J417"/>
    </row>
    <row r="418" spans="7:10" x14ac:dyDescent="0.3">
      <c r="G418"/>
      <c r="H418"/>
      <c r="I418"/>
      <c r="J418"/>
    </row>
    <row r="419" spans="7:10" x14ac:dyDescent="0.3">
      <c r="G419"/>
      <c r="H419"/>
      <c r="I419"/>
      <c r="J419"/>
    </row>
    <row r="420" spans="7:10" x14ac:dyDescent="0.3">
      <c r="G420"/>
      <c r="H420"/>
      <c r="I420"/>
      <c r="J420"/>
    </row>
    <row r="421" spans="7:10" x14ac:dyDescent="0.3">
      <c r="G421"/>
      <c r="H421"/>
      <c r="I421"/>
      <c r="J421"/>
    </row>
    <row r="422" spans="7:10" x14ac:dyDescent="0.3">
      <c r="G422"/>
      <c r="H422"/>
      <c r="I422"/>
      <c r="J422"/>
    </row>
    <row r="423" spans="7:10" x14ac:dyDescent="0.3">
      <c r="G423"/>
      <c r="H423"/>
      <c r="I423"/>
      <c r="J423"/>
    </row>
    <row r="424" spans="7:10" x14ac:dyDescent="0.3">
      <c r="G424"/>
      <c r="H424"/>
      <c r="I424"/>
      <c r="J424"/>
    </row>
    <row r="425" spans="7:10" x14ac:dyDescent="0.3">
      <c r="G425"/>
      <c r="H425"/>
      <c r="I425"/>
      <c r="J425"/>
    </row>
    <row r="426" spans="7:10" x14ac:dyDescent="0.3">
      <c r="G426"/>
      <c r="H426"/>
      <c r="I426"/>
      <c r="J426"/>
    </row>
    <row r="427" spans="7:10" x14ac:dyDescent="0.3">
      <c r="G427"/>
      <c r="H427"/>
      <c r="I427"/>
      <c r="J427"/>
    </row>
    <row r="428" spans="7:10" x14ac:dyDescent="0.3">
      <c r="G428"/>
      <c r="H428"/>
      <c r="I428"/>
      <c r="J428"/>
    </row>
    <row r="429" spans="7:10" x14ac:dyDescent="0.3">
      <c r="G429"/>
      <c r="H429"/>
      <c r="I429"/>
      <c r="J429"/>
    </row>
    <row r="430" spans="7:10" x14ac:dyDescent="0.3">
      <c r="G430"/>
      <c r="H430"/>
      <c r="I430"/>
      <c r="J430"/>
    </row>
    <row r="431" spans="7:10" x14ac:dyDescent="0.3">
      <c r="G431"/>
      <c r="H431"/>
      <c r="I431"/>
      <c r="J431"/>
    </row>
    <row r="432" spans="7:10" x14ac:dyDescent="0.3">
      <c r="G432"/>
      <c r="H432"/>
      <c r="I432"/>
      <c r="J432"/>
    </row>
    <row r="433" spans="7:10" x14ac:dyDescent="0.3">
      <c r="G433"/>
      <c r="H433"/>
      <c r="I433"/>
      <c r="J433"/>
    </row>
    <row r="434" spans="7:10" x14ac:dyDescent="0.3">
      <c r="G434"/>
      <c r="H434"/>
      <c r="I434"/>
      <c r="J434"/>
    </row>
    <row r="435" spans="7:10" x14ac:dyDescent="0.3">
      <c r="G435"/>
      <c r="H435"/>
      <c r="I435"/>
      <c r="J435"/>
    </row>
    <row r="436" spans="7:10" x14ac:dyDescent="0.3">
      <c r="G436"/>
      <c r="H436"/>
      <c r="I436"/>
      <c r="J436"/>
    </row>
    <row r="437" spans="7:10" x14ac:dyDescent="0.3">
      <c r="G437"/>
      <c r="H437"/>
      <c r="I437"/>
      <c r="J437"/>
    </row>
    <row r="438" spans="7:10" x14ac:dyDescent="0.3">
      <c r="G438"/>
      <c r="H438"/>
      <c r="I438"/>
      <c r="J438"/>
    </row>
    <row r="439" spans="7:10" x14ac:dyDescent="0.3">
      <c r="G439"/>
      <c r="H439"/>
      <c r="I439"/>
      <c r="J439"/>
    </row>
    <row r="440" spans="7:10" x14ac:dyDescent="0.3">
      <c r="G440"/>
      <c r="H440"/>
      <c r="I440"/>
      <c r="J440"/>
    </row>
    <row r="441" spans="7:10" x14ac:dyDescent="0.3">
      <c r="G441"/>
      <c r="H441"/>
      <c r="I441"/>
      <c r="J441"/>
    </row>
    <row r="442" spans="7:10" x14ac:dyDescent="0.3">
      <c r="G442"/>
      <c r="H442"/>
      <c r="I442"/>
      <c r="J442"/>
    </row>
    <row r="443" spans="7:10" x14ac:dyDescent="0.3">
      <c r="G443"/>
      <c r="H443"/>
      <c r="I443"/>
      <c r="J443"/>
    </row>
    <row r="444" spans="7:10" x14ac:dyDescent="0.3">
      <c r="G444"/>
      <c r="H444"/>
      <c r="I444"/>
      <c r="J444"/>
    </row>
    <row r="445" spans="7:10" x14ac:dyDescent="0.3">
      <c r="G445"/>
      <c r="H445"/>
      <c r="I445"/>
      <c r="J445"/>
    </row>
    <row r="446" spans="7:10" x14ac:dyDescent="0.3">
      <c r="G446"/>
      <c r="H446"/>
      <c r="I446"/>
      <c r="J446"/>
    </row>
    <row r="447" spans="7:10" x14ac:dyDescent="0.3">
      <c r="G447"/>
      <c r="H447"/>
      <c r="I447"/>
      <c r="J447"/>
    </row>
    <row r="448" spans="7:10" x14ac:dyDescent="0.3">
      <c r="G448"/>
      <c r="H448"/>
      <c r="I448"/>
      <c r="J448"/>
    </row>
    <row r="449" spans="7:10" x14ac:dyDescent="0.3">
      <c r="G449"/>
      <c r="H449"/>
      <c r="I449"/>
      <c r="J449"/>
    </row>
    <row r="450" spans="7:10" x14ac:dyDescent="0.3">
      <c r="G450"/>
      <c r="H450"/>
      <c r="I450"/>
      <c r="J450"/>
    </row>
    <row r="451" spans="7:10" x14ac:dyDescent="0.3">
      <c r="G451"/>
      <c r="H451"/>
      <c r="I451"/>
      <c r="J451"/>
    </row>
    <row r="452" spans="7:10" x14ac:dyDescent="0.3">
      <c r="G452"/>
      <c r="H452"/>
      <c r="I452"/>
      <c r="J452"/>
    </row>
    <row r="453" spans="7:10" x14ac:dyDescent="0.3">
      <c r="G453"/>
      <c r="H453"/>
      <c r="I453"/>
      <c r="J453"/>
    </row>
    <row r="454" spans="7:10" x14ac:dyDescent="0.3">
      <c r="G454"/>
      <c r="H454"/>
      <c r="I454"/>
      <c r="J454"/>
    </row>
    <row r="455" spans="7:10" x14ac:dyDescent="0.3">
      <c r="G455"/>
      <c r="H455"/>
      <c r="I455"/>
      <c r="J455"/>
    </row>
    <row r="456" spans="7:10" x14ac:dyDescent="0.3">
      <c r="G456"/>
      <c r="H456"/>
      <c r="I456"/>
      <c r="J456"/>
    </row>
    <row r="457" spans="7:10" x14ac:dyDescent="0.3">
      <c r="G457"/>
      <c r="H457"/>
      <c r="I457"/>
      <c r="J457"/>
    </row>
    <row r="458" spans="7:10" x14ac:dyDescent="0.3">
      <c r="G458"/>
      <c r="H458"/>
      <c r="I458"/>
      <c r="J458"/>
    </row>
    <row r="459" spans="7:10" x14ac:dyDescent="0.3">
      <c r="G459"/>
      <c r="H459"/>
      <c r="I459"/>
      <c r="J459"/>
    </row>
    <row r="460" spans="7:10" x14ac:dyDescent="0.3">
      <c r="G460"/>
      <c r="H460"/>
      <c r="I460"/>
      <c r="J460"/>
    </row>
    <row r="461" spans="7:10" x14ac:dyDescent="0.3">
      <c r="G461"/>
      <c r="H461"/>
      <c r="I461"/>
      <c r="J461"/>
    </row>
    <row r="462" spans="7:10" x14ac:dyDescent="0.3">
      <c r="G462"/>
      <c r="H462"/>
      <c r="I462"/>
      <c r="J462"/>
    </row>
    <row r="463" spans="7:10" x14ac:dyDescent="0.3">
      <c r="G463"/>
      <c r="H463"/>
      <c r="I463"/>
      <c r="J463"/>
    </row>
    <row r="464" spans="7:10" x14ac:dyDescent="0.3">
      <c r="G464"/>
      <c r="H464"/>
      <c r="I464"/>
      <c r="J464"/>
    </row>
    <row r="465" spans="7:10" x14ac:dyDescent="0.3">
      <c r="G465"/>
      <c r="H465"/>
      <c r="I465"/>
      <c r="J465"/>
    </row>
    <row r="466" spans="7:10" x14ac:dyDescent="0.3">
      <c r="G466"/>
      <c r="H466"/>
      <c r="I466"/>
      <c r="J466"/>
    </row>
    <row r="467" spans="7:10" x14ac:dyDescent="0.3">
      <c r="G467"/>
      <c r="H467"/>
      <c r="I467"/>
      <c r="J467"/>
    </row>
    <row r="468" spans="7:10" x14ac:dyDescent="0.3">
      <c r="G468"/>
      <c r="H468"/>
      <c r="I468"/>
      <c r="J468"/>
    </row>
    <row r="469" spans="7:10" x14ac:dyDescent="0.3">
      <c r="G469"/>
      <c r="H469"/>
      <c r="I469"/>
      <c r="J469"/>
    </row>
    <row r="470" spans="7:10" x14ac:dyDescent="0.3">
      <c r="G470"/>
      <c r="H470"/>
      <c r="I470"/>
      <c r="J470"/>
    </row>
    <row r="471" spans="7:10" x14ac:dyDescent="0.3">
      <c r="G471"/>
      <c r="H471"/>
      <c r="I471"/>
      <c r="J471"/>
    </row>
    <row r="472" spans="7:10" x14ac:dyDescent="0.3">
      <c r="G472"/>
      <c r="H472"/>
      <c r="I472"/>
      <c r="J472"/>
    </row>
    <row r="473" spans="7:10" x14ac:dyDescent="0.3">
      <c r="G473"/>
      <c r="H473"/>
      <c r="I473"/>
      <c r="J473"/>
    </row>
    <row r="474" spans="7:10" x14ac:dyDescent="0.3">
      <c r="G474"/>
      <c r="H474"/>
      <c r="I474"/>
      <c r="J474"/>
    </row>
    <row r="475" spans="7:10" x14ac:dyDescent="0.3">
      <c r="G475"/>
      <c r="H475"/>
      <c r="I475"/>
      <c r="J475"/>
    </row>
    <row r="476" spans="7:10" x14ac:dyDescent="0.3">
      <c r="G476"/>
      <c r="H476"/>
      <c r="I476"/>
      <c r="J476"/>
    </row>
    <row r="477" spans="7:10" x14ac:dyDescent="0.3">
      <c r="G477"/>
      <c r="H477"/>
      <c r="I477"/>
      <c r="J477"/>
    </row>
    <row r="478" spans="7:10" x14ac:dyDescent="0.3">
      <c r="G478"/>
      <c r="H478"/>
      <c r="I478"/>
      <c r="J478"/>
    </row>
    <row r="479" spans="7:10" x14ac:dyDescent="0.3">
      <c r="G479"/>
      <c r="H479"/>
      <c r="I479"/>
      <c r="J479"/>
    </row>
    <row r="480" spans="7:10" x14ac:dyDescent="0.3">
      <c r="G480"/>
      <c r="H480"/>
      <c r="I480"/>
      <c r="J480"/>
    </row>
    <row r="481" spans="7:10" x14ac:dyDescent="0.3">
      <c r="G481"/>
      <c r="H481"/>
      <c r="I481"/>
      <c r="J481"/>
    </row>
    <row r="482" spans="7:10" x14ac:dyDescent="0.3">
      <c r="G482"/>
      <c r="H482"/>
      <c r="I482"/>
      <c r="J482"/>
    </row>
    <row r="483" spans="7:10" x14ac:dyDescent="0.3">
      <c r="G483"/>
      <c r="H483"/>
      <c r="I483"/>
      <c r="J483"/>
    </row>
    <row r="484" spans="7:10" x14ac:dyDescent="0.3">
      <c r="G484"/>
      <c r="H484"/>
      <c r="I484"/>
      <c r="J484"/>
    </row>
    <row r="485" spans="7:10" x14ac:dyDescent="0.3">
      <c r="G485"/>
      <c r="H485"/>
      <c r="I485"/>
      <c r="J485"/>
    </row>
    <row r="486" spans="7:10" x14ac:dyDescent="0.3">
      <c r="G486"/>
      <c r="H486"/>
      <c r="I486"/>
      <c r="J486"/>
    </row>
    <row r="487" spans="7:10" x14ac:dyDescent="0.3">
      <c r="G487"/>
      <c r="H487"/>
      <c r="I487"/>
      <c r="J487"/>
    </row>
    <row r="488" spans="7:10" x14ac:dyDescent="0.3">
      <c r="G488"/>
      <c r="H488"/>
      <c r="I488"/>
      <c r="J488"/>
    </row>
    <row r="489" spans="7:10" x14ac:dyDescent="0.3">
      <c r="G489"/>
      <c r="H489"/>
      <c r="I489"/>
      <c r="J489"/>
    </row>
    <row r="490" spans="7:10" x14ac:dyDescent="0.3">
      <c r="G490"/>
      <c r="H490"/>
      <c r="I490"/>
      <c r="J490"/>
    </row>
    <row r="491" spans="7:10" x14ac:dyDescent="0.3">
      <c r="G491"/>
      <c r="H491"/>
      <c r="I491"/>
      <c r="J491"/>
    </row>
    <row r="492" spans="7:10" x14ac:dyDescent="0.3">
      <c r="G492"/>
      <c r="H492"/>
      <c r="I492"/>
      <c r="J492"/>
    </row>
    <row r="493" spans="7:10" x14ac:dyDescent="0.3">
      <c r="G493"/>
      <c r="H493"/>
      <c r="I493"/>
      <c r="J493"/>
    </row>
    <row r="494" spans="7:10" x14ac:dyDescent="0.3">
      <c r="G494"/>
      <c r="H494"/>
      <c r="I494"/>
      <c r="J494"/>
    </row>
    <row r="495" spans="7:10" x14ac:dyDescent="0.3">
      <c r="G495"/>
      <c r="H495"/>
      <c r="I495"/>
      <c r="J495"/>
    </row>
    <row r="496" spans="7:10" x14ac:dyDescent="0.3">
      <c r="G496"/>
      <c r="H496"/>
      <c r="I496"/>
      <c r="J496"/>
    </row>
    <row r="497" spans="7:10" x14ac:dyDescent="0.3">
      <c r="G497"/>
      <c r="H497"/>
      <c r="I497"/>
      <c r="J497"/>
    </row>
    <row r="498" spans="7:10" x14ac:dyDescent="0.3">
      <c r="G498"/>
      <c r="H498"/>
      <c r="I498"/>
      <c r="J498"/>
    </row>
    <row r="499" spans="7:10" x14ac:dyDescent="0.3">
      <c r="G499"/>
      <c r="H499"/>
      <c r="I499"/>
      <c r="J499"/>
    </row>
    <row r="500" spans="7:10" x14ac:dyDescent="0.3">
      <c r="G500"/>
      <c r="H500"/>
      <c r="I500"/>
      <c r="J500"/>
    </row>
    <row r="501" spans="7:10" x14ac:dyDescent="0.3">
      <c r="G501"/>
      <c r="H501"/>
      <c r="I501"/>
      <c r="J501"/>
    </row>
    <row r="502" spans="7:10" x14ac:dyDescent="0.3">
      <c r="G502"/>
      <c r="H502"/>
      <c r="I502"/>
      <c r="J502"/>
    </row>
    <row r="503" spans="7:10" x14ac:dyDescent="0.3">
      <c r="G503"/>
      <c r="H503"/>
      <c r="I503"/>
      <c r="J503"/>
    </row>
    <row r="504" spans="7:10" x14ac:dyDescent="0.3">
      <c r="G504"/>
      <c r="H504"/>
      <c r="I504"/>
      <c r="J504"/>
    </row>
    <row r="505" spans="7:10" x14ac:dyDescent="0.3">
      <c r="G505"/>
      <c r="H505"/>
      <c r="I505"/>
      <c r="J505"/>
    </row>
    <row r="506" spans="7:10" x14ac:dyDescent="0.3">
      <c r="G506"/>
      <c r="H506"/>
      <c r="I506"/>
      <c r="J506"/>
    </row>
    <row r="507" spans="7:10" x14ac:dyDescent="0.3">
      <c r="G507"/>
      <c r="H507"/>
      <c r="I507"/>
      <c r="J507"/>
    </row>
    <row r="508" spans="7:10" x14ac:dyDescent="0.3">
      <c r="G508"/>
      <c r="H508"/>
      <c r="I508"/>
      <c r="J508"/>
    </row>
    <row r="509" spans="7:10" x14ac:dyDescent="0.3">
      <c r="G509"/>
      <c r="H509"/>
      <c r="I509"/>
      <c r="J509"/>
    </row>
    <row r="510" spans="7:10" x14ac:dyDescent="0.3">
      <c r="G510"/>
      <c r="H510"/>
      <c r="I510"/>
      <c r="J510"/>
    </row>
    <row r="511" spans="7:10" x14ac:dyDescent="0.3">
      <c r="G511"/>
      <c r="H511"/>
      <c r="I511"/>
      <c r="J511"/>
    </row>
    <row r="512" spans="7:10" x14ac:dyDescent="0.3">
      <c r="G512"/>
      <c r="H512"/>
      <c r="I512"/>
      <c r="J512"/>
    </row>
    <row r="513" spans="7:10" x14ac:dyDescent="0.3">
      <c r="G513"/>
      <c r="H513"/>
      <c r="I513"/>
      <c r="J513"/>
    </row>
    <row r="514" spans="7:10" x14ac:dyDescent="0.3">
      <c r="G514"/>
      <c r="H514"/>
      <c r="I514"/>
      <c r="J514"/>
    </row>
    <row r="515" spans="7:10" x14ac:dyDescent="0.3">
      <c r="G515"/>
      <c r="H515"/>
      <c r="I515"/>
      <c r="J515"/>
    </row>
    <row r="516" spans="7:10" x14ac:dyDescent="0.3">
      <c r="G516"/>
      <c r="H516"/>
      <c r="I516"/>
      <c r="J516"/>
    </row>
    <row r="517" spans="7:10" x14ac:dyDescent="0.3">
      <c r="G517"/>
      <c r="H517"/>
      <c r="I517"/>
      <c r="J517"/>
    </row>
    <row r="518" spans="7:10" x14ac:dyDescent="0.3">
      <c r="G518"/>
      <c r="H518"/>
      <c r="I518"/>
      <c r="J518"/>
    </row>
    <row r="519" spans="7:10" x14ac:dyDescent="0.3">
      <c r="G519"/>
      <c r="H519"/>
      <c r="I519"/>
      <c r="J519"/>
    </row>
    <row r="520" spans="7:10" x14ac:dyDescent="0.3">
      <c r="G520"/>
      <c r="H520"/>
      <c r="I520"/>
      <c r="J520"/>
    </row>
    <row r="521" spans="7:10" x14ac:dyDescent="0.3">
      <c r="G521"/>
      <c r="H521"/>
      <c r="I521"/>
      <c r="J521"/>
    </row>
    <row r="522" spans="7:10" x14ac:dyDescent="0.3">
      <c r="G522"/>
      <c r="H522"/>
      <c r="I522"/>
      <c r="J522"/>
    </row>
    <row r="523" spans="7:10" x14ac:dyDescent="0.3">
      <c r="G523"/>
      <c r="H523"/>
      <c r="I523"/>
      <c r="J523"/>
    </row>
    <row r="524" spans="7:10" x14ac:dyDescent="0.3">
      <c r="G524"/>
      <c r="H524"/>
      <c r="I524"/>
      <c r="J524"/>
    </row>
    <row r="525" spans="7:10" x14ac:dyDescent="0.3">
      <c r="G525"/>
      <c r="H525"/>
      <c r="I525"/>
      <c r="J525"/>
    </row>
    <row r="526" spans="7:10" x14ac:dyDescent="0.3">
      <c r="G526"/>
      <c r="H526"/>
      <c r="I526"/>
      <c r="J526"/>
    </row>
    <row r="527" spans="7:10" x14ac:dyDescent="0.3">
      <c r="G527"/>
      <c r="H527"/>
      <c r="I527"/>
      <c r="J527"/>
    </row>
    <row r="528" spans="7:10" x14ac:dyDescent="0.3">
      <c r="G528"/>
      <c r="H528"/>
      <c r="I528"/>
      <c r="J528"/>
    </row>
    <row r="529" spans="7:10" x14ac:dyDescent="0.3">
      <c r="G529"/>
      <c r="H529"/>
      <c r="I529"/>
      <c r="J529"/>
    </row>
    <row r="530" spans="7:10" x14ac:dyDescent="0.3">
      <c r="G530"/>
      <c r="H530"/>
      <c r="I530"/>
      <c r="J530"/>
    </row>
    <row r="531" spans="7:10" x14ac:dyDescent="0.3">
      <c r="G531"/>
      <c r="H531"/>
      <c r="I531"/>
      <c r="J531"/>
    </row>
    <row r="532" spans="7:10" x14ac:dyDescent="0.3">
      <c r="G532"/>
      <c r="H532"/>
      <c r="I532"/>
      <c r="J532"/>
    </row>
    <row r="533" spans="7:10" x14ac:dyDescent="0.3">
      <c r="G533"/>
      <c r="H533"/>
      <c r="I533"/>
      <c r="J533"/>
    </row>
    <row r="534" spans="7:10" x14ac:dyDescent="0.3">
      <c r="G534"/>
      <c r="H534"/>
      <c r="I534"/>
      <c r="J534"/>
    </row>
    <row r="535" spans="7:10" x14ac:dyDescent="0.3">
      <c r="G535"/>
      <c r="H535"/>
      <c r="I535"/>
      <c r="J535"/>
    </row>
    <row r="536" spans="7:10" x14ac:dyDescent="0.3">
      <c r="G536"/>
      <c r="H536"/>
      <c r="I536"/>
      <c r="J536"/>
    </row>
    <row r="537" spans="7:10" x14ac:dyDescent="0.3">
      <c r="G537"/>
      <c r="H537"/>
      <c r="I537"/>
      <c r="J537"/>
    </row>
    <row r="538" spans="7:10" x14ac:dyDescent="0.3">
      <c r="G538"/>
      <c r="H538"/>
      <c r="I538"/>
      <c r="J538"/>
    </row>
    <row r="539" spans="7:10" x14ac:dyDescent="0.3">
      <c r="G539"/>
      <c r="H539"/>
      <c r="I539"/>
      <c r="J539"/>
    </row>
    <row r="540" spans="7:10" x14ac:dyDescent="0.3">
      <c r="G540"/>
      <c r="H540"/>
      <c r="I540"/>
      <c r="J540"/>
    </row>
    <row r="541" spans="7:10" x14ac:dyDescent="0.3">
      <c r="G541"/>
      <c r="H541"/>
      <c r="I541"/>
      <c r="J541"/>
    </row>
    <row r="542" spans="7:10" x14ac:dyDescent="0.3">
      <c r="G542"/>
      <c r="H542"/>
      <c r="I542"/>
      <c r="J542"/>
    </row>
    <row r="543" spans="7:10" x14ac:dyDescent="0.3">
      <c r="G543"/>
      <c r="H543"/>
      <c r="I543"/>
      <c r="J543"/>
    </row>
    <row r="544" spans="7:10" x14ac:dyDescent="0.3">
      <c r="G544"/>
      <c r="H544"/>
      <c r="I544"/>
      <c r="J544"/>
    </row>
    <row r="545" spans="7:10" x14ac:dyDescent="0.3">
      <c r="G545"/>
      <c r="H545"/>
      <c r="I545"/>
      <c r="J545"/>
    </row>
    <row r="546" spans="7:10" x14ac:dyDescent="0.3">
      <c r="G546"/>
      <c r="H546"/>
      <c r="I546"/>
      <c r="J546"/>
    </row>
    <row r="547" spans="7:10" x14ac:dyDescent="0.3">
      <c r="G547"/>
      <c r="H547"/>
      <c r="I547"/>
      <c r="J547"/>
    </row>
    <row r="548" spans="7:10" x14ac:dyDescent="0.3">
      <c r="G548"/>
      <c r="H548"/>
      <c r="I548"/>
      <c r="J548"/>
    </row>
    <row r="549" spans="7:10" x14ac:dyDescent="0.3">
      <c r="G549"/>
      <c r="H549"/>
      <c r="I549"/>
      <c r="J549"/>
    </row>
    <row r="550" spans="7:10" x14ac:dyDescent="0.3">
      <c r="G550"/>
      <c r="H550"/>
      <c r="I550"/>
      <c r="J550"/>
    </row>
    <row r="551" spans="7:10" x14ac:dyDescent="0.3">
      <c r="G551"/>
      <c r="H551"/>
      <c r="I551"/>
      <c r="J551"/>
    </row>
    <row r="552" spans="7:10" x14ac:dyDescent="0.3">
      <c r="G552"/>
      <c r="H552"/>
      <c r="I552"/>
      <c r="J552"/>
    </row>
    <row r="553" spans="7:10" x14ac:dyDescent="0.3">
      <c r="G553"/>
      <c r="H553"/>
      <c r="I553"/>
      <c r="J553"/>
    </row>
    <row r="554" spans="7:10" x14ac:dyDescent="0.3">
      <c r="G554"/>
      <c r="H554"/>
      <c r="I554"/>
      <c r="J554"/>
    </row>
    <row r="555" spans="7:10" x14ac:dyDescent="0.3">
      <c r="G555"/>
      <c r="H555"/>
      <c r="I555"/>
      <c r="J555"/>
    </row>
    <row r="556" spans="7:10" x14ac:dyDescent="0.3">
      <c r="G556"/>
      <c r="H556"/>
      <c r="I556"/>
      <c r="J556"/>
    </row>
    <row r="557" spans="7:10" x14ac:dyDescent="0.3">
      <c r="G557"/>
      <c r="H557"/>
      <c r="I557"/>
      <c r="J557"/>
    </row>
    <row r="558" spans="7:10" x14ac:dyDescent="0.3">
      <c r="G558"/>
      <c r="H558"/>
      <c r="I558"/>
      <c r="J558"/>
    </row>
    <row r="559" spans="7:10" x14ac:dyDescent="0.3">
      <c r="G559"/>
      <c r="H559"/>
      <c r="I559"/>
      <c r="J559"/>
    </row>
    <row r="560" spans="7:10" x14ac:dyDescent="0.3">
      <c r="G560"/>
      <c r="H560"/>
      <c r="I560"/>
      <c r="J560"/>
    </row>
    <row r="561" spans="7:10" x14ac:dyDescent="0.3">
      <c r="G561"/>
      <c r="H561"/>
      <c r="I561"/>
      <c r="J561"/>
    </row>
    <row r="562" spans="7:10" x14ac:dyDescent="0.3">
      <c r="G562"/>
      <c r="H562"/>
      <c r="I562"/>
      <c r="J562"/>
    </row>
    <row r="563" spans="7:10" x14ac:dyDescent="0.3">
      <c r="G563"/>
      <c r="H563"/>
      <c r="I563"/>
      <c r="J563"/>
    </row>
    <row r="564" spans="7:10" x14ac:dyDescent="0.3">
      <c r="G564"/>
      <c r="H564"/>
      <c r="I564"/>
      <c r="J564"/>
    </row>
    <row r="565" spans="7:10" x14ac:dyDescent="0.3">
      <c r="G565"/>
      <c r="H565"/>
      <c r="I565"/>
      <c r="J565"/>
    </row>
    <row r="566" spans="7:10" x14ac:dyDescent="0.3">
      <c r="G566"/>
      <c r="H566"/>
      <c r="I566"/>
      <c r="J566"/>
    </row>
    <row r="567" spans="7:10" x14ac:dyDescent="0.3">
      <c r="G567"/>
      <c r="H567"/>
      <c r="I567"/>
      <c r="J567"/>
    </row>
    <row r="568" spans="7:10" x14ac:dyDescent="0.3">
      <c r="G568"/>
      <c r="H568"/>
      <c r="I568"/>
      <c r="J568"/>
    </row>
    <row r="569" spans="7:10" x14ac:dyDescent="0.3">
      <c r="G569"/>
      <c r="H569"/>
      <c r="I569"/>
      <c r="J569"/>
    </row>
    <row r="570" spans="7:10" x14ac:dyDescent="0.3">
      <c r="G570"/>
      <c r="H570"/>
      <c r="I570"/>
      <c r="J570"/>
    </row>
    <row r="571" spans="7:10" x14ac:dyDescent="0.3">
      <c r="G571"/>
      <c r="H571"/>
      <c r="I571"/>
      <c r="J571"/>
    </row>
    <row r="572" spans="7:10" x14ac:dyDescent="0.3">
      <c r="G572"/>
      <c r="H572"/>
      <c r="I572"/>
      <c r="J572"/>
    </row>
    <row r="573" spans="7:10" x14ac:dyDescent="0.3">
      <c r="G573"/>
      <c r="H573"/>
      <c r="I573"/>
      <c r="J573"/>
    </row>
    <row r="574" spans="7:10" x14ac:dyDescent="0.3">
      <c r="G574"/>
      <c r="H574"/>
      <c r="I574"/>
      <c r="J574"/>
    </row>
    <row r="575" spans="7:10" x14ac:dyDescent="0.3">
      <c r="G575"/>
      <c r="H575"/>
      <c r="I575"/>
      <c r="J575"/>
    </row>
    <row r="576" spans="7:10" x14ac:dyDescent="0.3">
      <c r="G576"/>
      <c r="H576"/>
      <c r="I576"/>
      <c r="J576"/>
    </row>
    <row r="577" spans="7:10" x14ac:dyDescent="0.3">
      <c r="G577"/>
      <c r="H577"/>
      <c r="I577"/>
      <c r="J577"/>
    </row>
    <row r="578" spans="7:10" x14ac:dyDescent="0.3">
      <c r="G578"/>
      <c r="H578"/>
      <c r="I578"/>
      <c r="J578"/>
    </row>
    <row r="579" spans="7:10" x14ac:dyDescent="0.3">
      <c r="G579"/>
      <c r="H579"/>
      <c r="I579"/>
      <c r="J579"/>
    </row>
    <row r="580" spans="7:10" x14ac:dyDescent="0.3">
      <c r="G580"/>
      <c r="H580"/>
      <c r="I580"/>
      <c r="J580"/>
    </row>
    <row r="581" spans="7:10" x14ac:dyDescent="0.3">
      <c r="G581"/>
      <c r="H581"/>
      <c r="I581"/>
      <c r="J581"/>
    </row>
    <row r="582" spans="7:10" x14ac:dyDescent="0.3">
      <c r="G582"/>
      <c r="H582"/>
      <c r="I582"/>
      <c r="J582"/>
    </row>
    <row r="583" spans="7:10" x14ac:dyDescent="0.3">
      <c r="G583"/>
      <c r="H583"/>
      <c r="I583"/>
      <c r="J583"/>
    </row>
    <row r="584" spans="7:10" x14ac:dyDescent="0.3">
      <c r="G584"/>
      <c r="H584"/>
      <c r="I584"/>
      <c r="J584"/>
    </row>
    <row r="585" spans="7:10" x14ac:dyDescent="0.3">
      <c r="G585"/>
      <c r="H585"/>
      <c r="I585"/>
      <c r="J585"/>
    </row>
    <row r="586" spans="7:10" x14ac:dyDescent="0.3">
      <c r="G586"/>
      <c r="H586"/>
      <c r="I586"/>
      <c r="J586"/>
    </row>
    <row r="587" spans="7:10" x14ac:dyDescent="0.3">
      <c r="G587"/>
      <c r="H587"/>
      <c r="I587"/>
      <c r="J587"/>
    </row>
    <row r="588" spans="7:10" x14ac:dyDescent="0.3">
      <c r="G588"/>
      <c r="H588"/>
      <c r="I588"/>
      <c r="J588"/>
    </row>
    <row r="589" spans="7:10" x14ac:dyDescent="0.3">
      <c r="G589"/>
      <c r="H589"/>
      <c r="I589"/>
      <c r="J589"/>
    </row>
    <row r="590" spans="7:10" x14ac:dyDescent="0.3">
      <c r="G590"/>
      <c r="H590"/>
      <c r="I590"/>
      <c r="J590"/>
    </row>
    <row r="591" spans="7:10" x14ac:dyDescent="0.3">
      <c r="G591"/>
      <c r="H591"/>
      <c r="I591"/>
      <c r="J591"/>
    </row>
    <row r="592" spans="7:10" x14ac:dyDescent="0.3">
      <c r="G592"/>
      <c r="H592"/>
      <c r="I592"/>
      <c r="J592"/>
    </row>
    <row r="593" spans="7:10" x14ac:dyDescent="0.3">
      <c r="G593"/>
      <c r="H593"/>
      <c r="I593"/>
      <c r="J593"/>
    </row>
    <row r="594" spans="7:10" x14ac:dyDescent="0.3">
      <c r="G594"/>
      <c r="H594"/>
      <c r="I594"/>
      <c r="J594"/>
    </row>
    <row r="595" spans="7:10" x14ac:dyDescent="0.3">
      <c r="G595"/>
      <c r="H595"/>
      <c r="I595"/>
      <c r="J595"/>
    </row>
    <row r="596" spans="7:10" x14ac:dyDescent="0.3">
      <c r="G596"/>
      <c r="H596"/>
      <c r="I596"/>
      <c r="J596"/>
    </row>
    <row r="597" spans="7:10" x14ac:dyDescent="0.3">
      <c r="G597"/>
      <c r="H597"/>
      <c r="I597"/>
      <c r="J597"/>
    </row>
    <row r="598" spans="7:10" x14ac:dyDescent="0.3">
      <c r="G598"/>
      <c r="H598"/>
      <c r="I598"/>
      <c r="J598"/>
    </row>
    <row r="599" spans="7:10" x14ac:dyDescent="0.3">
      <c r="G599"/>
      <c r="H599"/>
      <c r="I599"/>
      <c r="J599"/>
    </row>
    <row r="600" spans="7:10" x14ac:dyDescent="0.3">
      <c r="G600"/>
      <c r="H600"/>
      <c r="I600"/>
      <c r="J600"/>
    </row>
    <row r="601" spans="7:10" x14ac:dyDescent="0.3">
      <c r="G601"/>
      <c r="H601"/>
      <c r="I601"/>
      <c r="J601"/>
    </row>
    <row r="602" spans="7:10" x14ac:dyDescent="0.3">
      <c r="G602"/>
      <c r="H602"/>
      <c r="I602"/>
      <c r="J602"/>
    </row>
    <row r="603" spans="7:10" x14ac:dyDescent="0.3">
      <c r="G603"/>
      <c r="H603"/>
      <c r="I603"/>
      <c r="J603"/>
    </row>
    <row r="604" spans="7:10" x14ac:dyDescent="0.3">
      <c r="G604"/>
      <c r="H604"/>
      <c r="I604"/>
      <c r="J604"/>
    </row>
    <row r="605" spans="7:10" x14ac:dyDescent="0.3">
      <c r="G605"/>
      <c r="H605"/>
      <c r="I605"/>
      <c r="J605"/>
    </row>
    <row r="606" spans="7:10" x14ac:dyDescent="0.3">
      <c r="G606"/>
      <c r="H606"/>
      <c r="I606"/>
      <c r="J606"/>
    </row>
    <row r="607" spans="7:10" x14ac:dyDescent="0.3">
      <c r="G607"/>
      <c r="H607"/>
      <c r="I607"/>
      <c r="J607"/>
    </row>
    <row r="608" spans="7:10" x14ac:dyDescent="0.3">
      <c r="G608"/>
      <c r="H608"/>
      <c r="I608"/>
      <c r="J608"/>
    </row>
    <row r="609" spans="7:10" x14ac:dyDescent="0.3">
      <c r="G609"/>
      <c r="H609"/>
      <c r="I609"/>
      <c r="J609"/>
    </row>
    <row r="610" spans="7:10" x14ac:dyDescent="0.3">
      <c r="G610"/>
      <c r="H610"/>
      <c r="I610"/>
      <c r="J610"/>
    </row>
    <row r="611" spans="7:10" x14ac:dyDescent="0.3">
      <c r="G611"/>
      <c r="H611"/>
      <c r="I611"/>
      <c r="J611"/>
    </row>
    <row r="612" spans="7:10" x14ac:dyDescent="0.3">
      <c r="G612"/>
      <c r="H612"/>
      <c r="I612"/>
      <c r="J612"/>
    </row>
    <row r="613" spans="7:10" x14ac:dyDescent="0.3">
      <c r="G613"/>
      <c r="H613"/>
      <c r="I613"/>
      <c r="J613"/>
    </row>
    <row r="614" spans="7:10" x14ac:dyDescent="0.3">
      <c r="G614"/>
      <c r="H614"/>
      <c r="I614"/>
      <c r="J614"/>
    </row>
    <row r="615" spans="7:10" x14ac:dyDescent="0.3">
      <c r="G615"/>
      <c r="H615"/>
      <c r="I615"/>
      <c r="J615"/>
    </row>
    <row r="616" spans="7:10" x14ac:dyDescent="0.3">
      <c r="G616"/>
      <c r="H616"/>
      <c r="I616"/>
      <c r="J616"/>
    </row>
    <row r="617" spans="7:10" x14ac:dyDescent="0.3">
      <c r="G617"/>
      <c r="H617"/>
      <c r="I617"/>
      <c r="J617"/>
    </row>
    <row r="618" spans="7:10" x14ac:dyDescent="0.3">
      <c r="G618"/>
      <c r="H618"/>
      <c r="I618"/>
      <c r="J618"/>
    </row>
    <row r="619" spans="7:10" x14ac:dyDescent="0.3">
      <c r="G619"/>
      <c r="H619"/>
      <c r="I619"/>
      <c r="J619"/>
    </row>
    <row r="620" spans="7:10" x14ac:dyDescent="0.3">
      <c r="G620"/>
      <c r="H620"/>
      <c r="I620"/>
      <c r="J620"/>
    </row>
    <row r="621" spans="7:10" x14ac:dyDescent="0.3">
      <c r="G621"/>
      <c r="H621"/>
      <c r="I621"/>
      <c r="J621"/>
    </row>
    <row r="622" spans="7:10" x14ac:dyDescent="0.3">
      <c r="G622"/>
      <c r="H622"/>
      <c r="I622"/>
      <c r="J622"/>
    </row>
    <row r="623" spans="7:10" x14ac:dyDescent="0.3">
      <c r="G623"/>
      <c r="H623"/>
      <c r="I623"/>
      <c r="J623"/>
    </row>
    <row r="624" spans="7:10" x14ac:dyDescent="0.3">
      <c r="G624"/>
      <c r="H624"/>
      <c r="I624"/>
      <c r="J624"/>
    </row>
    <row r="625" spans="7:10" x14ac:dyDescent="0.3">
      <c r="G625"/>
      <c r="H625"/>
      <c r="I625"/>
      <c r="J625"/>
    </row>
    <row r="626" spans="7:10" x14ac:dyDescent="0.3">
      <c r="G626"/>
      <c r="H626"/>
      <c r="I626"/>
      <c r="J626"/>
    </row>
    <row r="627" spans="7:10" x14ac:dyDescent="0.3">
      <c r="G627"/>
      <c r="H627"/>
      <c r="I627"/>
      <c r="J627"/>
    </row>
    <row r="628" spans="7:10" x14ac:dyDescent="0.3">
      <c r="G628"/>
      <c r="H628"/>
      <c r="I628"/>
      <c r="J628"/>
    </row>
    <row r="629" spans="7:10" x14ac:dyDescent="0.3">
      <c r="G629"/>
      <c r="H629"/>
      <c r="I629"/>
      <c r="J629"/>
    </row>
    <row r="630" spans="7:10" x14ac:dyDescent="0.3">
      <c r="G630"/>
      <c r="H630"/>
      <c r="I630"/>
      <c r="J630"/>
    </row>
    <row r="631" spans="7:10" x14ac:dyDescent="0.3">
      <c r="G631"/>
      <c r="H631"/>
      <c r="I631"/>
      <c r="J631"/>
    </row>
    <row r="632" spans="7:10" x14ac:dyDescent="0.3">
      <c r="G632"/>
      <c r="H632"/>
      <c r="I632"/>
      <c r="J632"/>
    </row>
    <row r="633" spans="7:10" x14ac:dyDescent="0.3">
      <c r="G633"/>
      <c r="H633"/>
      <c r="I633"/>
      <c r="J633"/>
    </row>
    <row r="634" spans="7:10" x14ac:dyDescent="0.3">
      <c r="G634"/>
      <c r="H634"/>
      <c r="I634"/>
      <c r="J634"/>
    </row>
    <row r="635" spans="7:10" x14ac:dyDescent="0.3">
      <c r="G635"/>
      <c r="H635"/>
      <c r="I635"/>
      <c r="J635"/>
    </row>
    <row r="636" spans="7:10" x14ac:dyDescent="0.3">
      <c r="G636"/>
      <c r="H636"/>
      <c r="I636"/>
      <c r="J636"/>
    </row>
    <row r="637" spans="7:10" x14ac:dyDescent="0.3">
      <c r="G637"/>
      <c r="H637"/>
      <c r="I637"/>
      <c r="J637"/>
    </row>
    <row r="638" spans="7:10" x14ac:dyDescent="0.3">
      <c r="G638"/>
      <c r="H638"/>
      <c r="I638"/>
      <c r="J638"/>
    </row>
    <row r="639" spans="7:10" x14ac:dyDescent="0.3">
      <c r="G639"/>
      <c r="H639"/>
      <c r="I639"/>
      <c r="J639"/>
    </row>
    <row r="640" spans="7:10" x14ac:dyDescent="0.3">
      <c r="G640"/>
      <c r="H640"/>
      <c r="I640"/>
      <c r="J640"/>
    </row>
    <row r="641" spans="7:10" x14ac:dyDescent="0.3">
      <c r="G641"/>
      <c r="H641"/>
      <c r="I641"/>
      <c r="J641"/>
    </row>
    <row r="642" spans="7:10" x14ac:dyDescent="0.3">
      <c r="G642"/>
      <c r="H642"/>
      <c r="I642"/>
      <c r="J642"/>
    </row>
    <row r="643" spans="7:10" x14ac:dyDescent="0.3">
      <c r="G643"/>
      <c r="H643"/>
      <c r="I643"/>
      <c r="J643"/>
    </row>
    <row r="644" spans="7:10" x14ac:dyDescent="0.3">
      <c r="G644"/>
      <c r="H644"/>
      <c r="I644"/>
      <c r="J644"/>
    </row>
    <row r="645" spans="7:10" x14ac:dyDescent="0.3">
      <c r="G645"/>
      <c r="H645"/>
      <c r="I645"/>
      <c r="J645"/>
    </row>
    <row r="646" spans="7:10" x14ac:dyDescent="0.3">
      <c r="G646"/>
      <c r="H646"/>
      <c r="I646"/>
      <c r="J646"/>
    </row>
    <row r="647" spans="7:10" x14ac:dyDescent="0.3">
      <c r="G647"/>
      <c r="H647"/>
      <c r="I647"/>
      <c r="J647"/>
    </row>
    <row r="648" spans="7:10" x14ac:dyDescent="0.3">
      <c r="G648"/>
      <c r="H648"/>
      <c r="I648"/>
      <c r="J648"/>
    </row>
    <row r="649" spans="7:10" x14ac:dyDescent="0.3">
      <c r="G649"/>
      <c r="H649"/>
      <c r="I649"/>
      <c r="J649"/>
    </row>
    <row r="650" spans="7:10" x14ac:dyDescent="0.3">
      <c r="G650"/>
      <c r="H650"/>
      <c r="I650"/>
      <c r="J650"/>
    </row>
    <row r="651" spans="7:10" x14ac:dyDescent="0.3">
      <c r="G651"/>
      <c r="H651"/>
      <c r="I651"/>
      <c r="J651"/>
    </row>
    <row r="652" spans="7:10" x14ac:dyDescent="0.3">
      <c r="G652"/>
      <c r="H652"/>
      <c r="I652"/>
      <c r="J652"/>
    </row>
    <row r="653" spans="7:10" x14ac:dyDescent="0.3">
      <c r="G653"/>
      <c r="H653"/>
      <c r="I653"/>
      <c r="J653"/>
    </row>
    <row r="654" spans="7:10" x14ac:dyDescent="0.3">
      <c r="G654"/>
      <c r="H654"/>
      <c r="I654"/>
      <c r="J654"/>
    </row>
    <row r="655" spans="7:10" x14ac:dyDescent="0.3">
      <c r="G655"/>
      <c r="H655"/>
      <c r="I655"/>
      <c r="J655"/>
    </row>
    <row r="656" spans="7:10" x14ac:dyDescent="0.3">
      <c r="G656"/>
      <c r="H656"/>
      <c r="I656"/>
      <c r="J656"/>
    </row>
    <row r="657" spans="7:10" x14ac:dyDescent="0.3">
      <c r="G657"/>
      <c r="H657"/>
      <c r="I657"/>
      <c r="J657"/>
    </row>
    <row r="658" spans="7:10" x14ac:dyDescent="0.3">
      <c r="G658"/>
      <c r="H658"/>
      <c r="I658"/>
      <c r="J658"/>
    </row>
    <row r="659" spans="7:10" x14ac:dyDescent="0.3">
      <c r="G659"/>
      <c r="H659"/>
      <c r="I659"/>
      <c r="J659"/>
    </row>
    <row r="660" spans="7:10" x14ac:dyDescent="0.3">
      <c r="G660"/>
      <c r="H660"/>
      <c r="I660"/>
      <c r="J660"/>
    </row>
    <row r="661" spans="7:10" x14ac:dyDescent="0.3">
      <c r="G661"/>
      <c r="H661"/>
      <c r="I661"/>
      <c r="J661"/>
    </row>
    <row r="662" spans="7:10" x14ac:dyDescent="0.3">
      <c r="G662"/>
      <c r="H662"/>
      <c r="I662"/>
      <c r="J662"/>
    </row>
    <row r="663" spans="7:10" x14ac:dyDescent="0.3">
      <c r="G663"/>
      <c r="H663"/>
      <c r="I663"/>
      <c r="J663"/>
    </row>
    <row r="664" spans="7:10" x14ac:dyDescent="0.3">
      <c r="G664"/>
      <c r="H664"/>
      <c r="I664"/>
      <c r="J664"/>
    </row>
    <row r="665" spans="7:10" x14ac:dyDescent="0.3">
      <c r="G665"/>
      <c r="H665"/>
      <c r="I665"/>
      <c r="J665"/>
    </row>
    <row r="666" spans="7:10" x14ac:dyDescent="0.3">
      <c r="G666"/>
      <c r="H666"/>
      <c r="I666"/>
      <c r="J666"/>
    </row>
    <row r="667" spans="7:10" x14ac:dyDescent="0.3">
      <c r="G667"/>
      <c r="H667"/>
      <c r="I667"/>
      <c r="J667"/>
    </row>
    <row r="668" spans="7:10" x14ac:dyDescent="0.3">
      <c r="G668"/>
      <c r="H668"/>
      <c r="I668"/>
      <c r="J668"/>
    </row>
    <row r="669" spans="7:10" x14ac:dyDescent="0.3">
      <c r="G669"/>
      <c r="H669"/>
      <c r="I669"/>
      <c r="J669"/>
    </row>
    <row r="670" spans="7:10" x14ac:dyDescent="0.3">
      <c r="G670"/>
      <c r="H670"/>
      <c r="I670"/>
      <c r="J670"/>
    </row>
    <row r="671" spans="7:10" x14ac:dyDescent="0.3">
      <c r="G671"/>
      <c r="H671"/>
      <c r="I671"/>
      <c r="J671"/>
    </row>
    <row r="672" spans="7:10" x14ac:dyDescent="0.3">
      <c r="G672"/>
      <c r="H672"/>
      <c r="I672"/>
      <c r="J672"/>
    </row>
    <row r="673" spans="7:10" x14ac:dyDescent="0.3">
      <c r="G673"/>
      <c r="H673"/>
      <c r="I673"/>
      <c r="J673"/>
    </row>
    <row r="674" spans="7:10" x14ac:dyDescent="0.3">
      <c r="G674"/>
      <c r="H674"/>
      <c r="I674"/>
      <c r="J674"/>
    </row>
    <row r="675" spans="7:10" x14ac:dyDescent="0.3">
      <c r="G675"/>
      <c r="H675"/>
      <c r="I675"/>
      <c r="J675"/>
    </row>
    <row r="676" spans="7:10" x14ac:dyDescent="0.3">
      <c r="G676"/>
      <c r="H676"/>
      <c r="I676"/>
      <c r="J676"/>
    </row>
    <row r="677" spans="7:10" x14ac:dyDescent="0.3">
      <c r="G677"/>
      <c r="H677"/>
      <c r="I677"/>
      <c r="J677"/>
    </row>
    <row r="678" spans="7:10" x14ac:dyDescent="0.3">
      <c r="G678"/>
      <c r="H678"/>
      <c r="I678"/>
      <c r="J678"/>
    </row>
    <row r="679" spans="7:10" x14ac:dyDescent="0.3">
      <c r="G679"/>
      <c r="H679"/>
      <c r="I679"/>
      <c r="J679"/>
    </row>
    <row r="680" spans="7:10" x14ac:dyDescent="0.3">
      <c r="G680"/>
      <c r="H680"/>
      <c r="I680"/>
      <c r="J680"/>
    </row>
    <row r="681" spans="7:10" x14ac:dyDescent="0.3">
      <c r="G681"/>
      <c r="H681"/>
      <c r="I681"/>
      <c r="J681"/>
    </row>
    <row r="682" spans="7:10" x14ac:dyDescent="0.3">
      <c r="G682"/>
      <c r="H682"/>
      <c r="I682"/>
      <c r="J682"/>
    </row>
    <row r="683" spans="7:10" x14ac:dyDescent="0.3">
      <c r="G683"/>
      <c r="H683"/>
      <c r="I683"/>
      <c r="J683"/>
    </row>
    <row r="684" spans="7:10" x14ac:dyDescent="0.3">
      <c r="G684"/>
      <c r="H684"/>
      <c r="I684"/>
      <c r="J684"/>
    </row>
    <row r="685" spans="7:10" x14ac:dyDescent="0.3">
      <c r="G685"/>
      <c r="H685"/>
      <c r="I685"/>
      <c r="J685"/>
    </row>
    <row r="686" spans="7:10" x14ac:dyDescent="0.3">
      <c r="G686"/>
      <c r="H686"/>
      <c r="I686"/>
      <c r="J686"/>
    </row>
    <row r="687" spans="7:10" x14ac:dyDescent="0.3">
      <c r="G687"/>
      <c r="H687"/>
      <c r="I687"/>
      <c r="J687"/>
    </row>
    <row r="688" spans="7:10" x14ac:dyDescent="0.3">
      <c r="G688"/>
      <c r="H688"/>
      <c r="I688"/>
      <c r="J688"/>
    </row>
    <row r="689" spans="7:10" x14ac:dyDescent="0.3">
      <c r="G689"/>
      <c r="H689"/>
      <c r="I689"/>
      <c r="J689"/>
    </row>
    <row r="690" spans="7:10" x14ac:dyDescent="0.3">
      <c r="G690"/>
      <c r="H690"/>
      <c r="I690"/>
      <c r="J690"/>
    </row>
    <row r="691" spans="7:10" x14ac:dyDescent="0.3">
      <c r="G691"/>
      <c r="H691"/>
      <c r="I691"/>
      <c r="J691"/>
    </row>
    <row r="692" spans="7:10" x14ac:dyDescent="0.3">
      <c r="G692"/>
      <c r="H692"/>
      <c r="I692"/>
      <c r="J692"/>
    </row>
    <row r="693" spans="7:10" x14ac:dyDescent="0.3">
      <c r="G693"/>
      <c r="H693"/>
      <c r="I693"/>
      <c r="J693"/>
    </row>
    <row r="694" spans="7:10" x14ac:dyDescent="0.3">
      <c r="G694"/>
      <c r="H694"/>
      <c r="I694"/>
      <c r="J694"/>
    </row>
    <row r="695" spans="7:10" x14ac:dyDescent="0.3">
      <c r="G695"/>
      <c r="H695"/>
      <c r="I695"/>
      <c r="J695"/>
    </row>
    <row r="696" spans="7:10" x14ac:dyDescent="0.3">
      <c r="G696"/>
      <c r="H696"/>
      <c r="I696"/>
      <c r="J696"/>
    </row>
    <row r="697" spans="7:10" x14ac:dyDescent="0.3">
      <c r="G697"/>
      <c r="H697"/>
      <c r="I697"/>
      <c r="J697"/>
    </row>
    <row r="698" spans="7:10" x14ac:dyDescent="0.3">
      <c r="G698"/>
      <c r="H698"/>
      <c r="I698"/>
      <c r="J698"/>
    </row>
    <row r="699" spans="7:10" x14ac:dyDescent="0.3">
      <c r="G699"/>
      <c r="H699"/>
      <c r="I699"/>
      <c r="J699"/>
    </row>
    <row r="700" spans="7:10" x14ac:dyDescent="0.3">
      <c r="G700"/>
      <c r="H700"/>
      <c r="I700"/>
      <c r="J700"/>
    </row>
    <row r="701" spans="7:10" x14ac:dyDescent="0.3">
      <c r="G701"/>
      <c r="H701"/>
      <c r="I701"/>
      <c r="J701"/>
    </row>
    <row r="702" spans="7:10" x14ac:dyDescent="0.3">
      <c r="G702"/>
      <c r="H702"/>
      <c r="I702"/>
      <c r="J702"/>
    </row>
    <row r="703" spans="7:10" x14ac:dyDescent="0.3">
      <c r="G703"/>
      <c r="H703"/>
      <c r="I703"/>
      <c r="J703"/>
    </row>
    <row r="704" spans="7:10" x14ac:dyDescent="0.3">
      <c r="G704"/>
      <c r="H704"/>
      <c r="I704"/>
      <c r="J704"/>
    </row>
    <row r="705" spans="7:10" x14ac:dyDescent="0.3">
      <c r="G705"/>
      <c r="H705"/>
      <c r="I705"/>
      <c r="J705"/>
    </row>
    <row r="706" spans="7:10" x14ac:dyDescent="0.3">
      <c r="G706"/>
      <c r="H706"/>
      <c r="I706"/>
      <c r="J706"/>
    </row>
    <row r="707" spans="7:10" x14ac:dyDescent="0.3">
      <c r="G707"/>
      <c r="H707"/>
      <c r="I707"/>
      <c r="J707"/>
    </row>
    <row r="708" spans="7:10" x14ac:dyDescent="0.3">
      <c r="G708"/>
      <c r="H708"/>
      <c r="I708"/>
      <c r="J708"/>
    </row>
    <row r="709" spans="7:10" x14ac:dyDescent="0.3">
      <c r="G709"/>
      <c r="H709"/>
      <c r="I709"/>
      <c r="J709"/>
    </row>
    <row r="710" spans="7:10" x14ac:dyDescent="0.3">
      <c r="G710"/>
      <c r="H710"/>
      <c r="I710"/>
      <c r="J710"/>
    </row>
    <row r="711" spans="7:10" x14ac:dyDescent="0.3">
      <c r="G711"/>
      <c r="H711"/>
      <c r="I711"/>
      <c r="J711"/>
    </row>
    <row r="712" spans="7:10" x14ac:dyDescent="0.3">
      <c r="G712"/>
      <c r="H712"/>
      <c r="I712"/>
      <c r="J712"/>
    </row>
    <row r="713" spans="7:10" x14ac:dyDescent="0.3">
      <c r="G713"/>
      <c r="H713"/>
      <c r="I713"/>
      <c r="J713"/>
    </row>
    <row r="714" spans="7:10" x14ac:dyDescent="0.3">
      <c r="G714"/>
      <c r="H714"/>
      <c r="I714"/>
      <c r="J714"/>
    </row>
    <row r="715" spans="7:10" x14ac:dyDescent="0.3">
      <c r="G715"/>
      <c r="H715"/>
      <c r="I715"/>
      <c r="J715"/>
    </row>
    <row r="716" spans="7:10" x14ac:dyDescent="0.3">
      <c r="G716"/>
      <c r="H716"/>
      <c r="I716"/>
      <c r="J716"/>
    </row>
    <row r="717" spans="7:10" x14ac:dyDescent="0.3">
      <c r="G717"/>
      <c r="H717"/>
      <c r="I717"/>
      <c r="J717"/>
    </row>
    <row r="718" spans="7:10" x14ac:dyDescent="0.3">
      <c r="G718"/>
      <c r="H718"/>
      <c r="I718"/>
      <c r="J718"/>
    </row>
    <row r="719" spans="7:10" x14ac:dyDescent="0.3">
      <c r="G719"/>
      <c r="H719"/>
      <c r="I719"/>
      <c r="J719"/>
    </row>
    <row r="720" spans="7:10" x14ac:dyDescent="0.3">
      <c r="G720"/>
      <c r="H720"/>
      <c r="I720"/>
      <c r="J720"/>
    </row>
    <row r="721" spans="7:10" x14ac:dyDescent="0.3">
      <c r="G721"/>
      <c r="H721"/>
      <c r="I721"/>
      <c r="J721"/>
    </row>
    <row r="722" spans="7:10" x14ac:dyDescent="0.3">
      <c r="G722"/>
      <c r="H722"/>
      <c r="I722"/>
      <c r="J722"/>
    </row>
    <row r="723" spans="7:10" x14ac:dyDescent="0.3">
      <c r="G723"/>
      <c r="H723"/>
      <c r="I723"/>
      <c r="J723"/>
    </row>
    <row r="724" spans="7:10" x14ac:dyDescent="0.3">
      <c r="G724"/>
      <c r="H724"/>
      <c r="I724"/>
      <c r="J724"/>
    </row>
    <row r="725" spans="7:10" x14ac:dyDescent="0.3">
      <c r="G725"/>
      <c r="H725"/>
      <c r="I725"/>
      <c r="J725"/>
    </row>
    <row r="726" spans="7:10" x14ac:dyDescent="0.3">
      <c r="G726"/>
      <c r="H726"/>
      <c r="I726"/>
      <c r="J726"/>
    </row>
    <row r="727" spans="7:10" x14ac:dyDescent="0.3">
      <c r="G727"/>
      <c r="H727"/>
      <c r="I727"/>
      <c r="J727"/>
    </row>
    <row r="728" spans="7:10" x14ac:dyDescent="0.3">
      <c r="G728"/>
      <c r="H728"/>
      <c r="I728"/>
      <c r="J728"/>
    </row>
    <row r="729" spans="7:10" x14ac:dyDescent="0.3">
      <c r="G729"/>
      <c r="H729"/>
      <c r="I729"/>
      <c r="J729"/>
    </row>
    <row r="730" spans="7:10" x14ac:dyDescent="0.3">
      <c r="G730"/>
      <c r="H730"/>
      <c r="I730"/>
      <c r="J730"/>
    </row>
    <row r="731" spans="7:10" x14ac:dyDescent="0.3">
      <c r="G731"/>
      <c r="H731"/>
      <c r="I731"/>
      <c r="J731"/>
    </row>
    <row r="732" spans="7:10" x14ac:dyDescent="0.3">
      <c r="G732"/>
      <c r="H732"/>
      <c r="I732"/>
      <c r="J732"/>
    </row>
    <row r="733" spans="7:10" x14ac:dyDescent="0.3">
      <c r="G733"/>
      <c r="H733"/>
      <c r="I733"/>
      <c r="J733"/>
    </row>
    <row r="734" spans="7:10" x14ac:dyDescent="0.3">
      <c r="G734"/>
      <c r="H734"/>
      <c r="I734"/>
      <c r="J734"/>
    </row>
    <row r="735" spans="7:10" x14ac:dyDescent="0.3">
      <c r="G735"/>
      <c r="H735"/>
      <c r="I735"/>
      <c r="J735"/>
    </row>
    <row r="736" spans="7:10" x14ac:dyDescent="0.3">
      <c r="G736"/>
      <c r="H736"/>
      <c r="I736"/>
      <c r="J736"/>
    </row>
    <row r="737" spans="7:10" x14ac:dyDescent="0.3">
      <c r="G737"/>
      <c r="H737"/>
      <c r="I737"/>
      <c r="J737"/>
    </row>
    <row r="738" spans="7:10" x14ac:dyDescent="0.3">
      <c r="G738"/>
      <c r="H738"/>
      <c r="I738"/>
      <c r="J738"/>
    </row>
    <row r="739" spans="7:10" x14ac:dyDescent="0.3">
      <c r="G739"/>
      <c r="H739"/>
      <c r="I739"/>
      <c r="J739"/>
    </row>
    <row r="740" spans="7:10" x14ac:dyDescent="0.3">
      <c r="G740"/>
      <c r="H740"/>
      <c r="I740"/>
      <c r="J740"/>
    </row>
    <row r="741" spans="7:10" x14ac:dyDescent="0.3">
      <c r="G741"/>
      <c r="H741"/>
      <c r="I741"/>
      <c r="J741"/>
    </row>
    <row r="742" spans="7:10" x14ac:dyDescent="0.3">
      <c r="G742"/>
      <c r="H742"/>
      <c r="I742"/>
      <c r="J742"/>
    </row>
    <row r="743" spans="7:10" x14ac:dyDescent="0.3">
      <c r="G743"/>
      <c r="H743"/>
      <c r="I743"/>
      <c r="J743"/>
    </row>
    <row r="744" spans="7:10" x14ac:dyDescent="0.3">
      <c r="G744"/>
      <c r="H744"/>
      <c r="I744"/>
      <c r="J744"/>
    </row>
    <row r="745" spans="7:10" x14ac:dyDescent="0.3">
      <c r="G745"/>
      <c r="H745"/>
      <c r="I745"/>
      <c r="J745"/>
    </row>
    <row r="746" spans="7:10" x14ac:dyDescent="0.3">
      <c r="G746"/>
      <c r="H746"/>
      <c r="I746"/>
      <c r="J746"/>
    </row>
    <row r="747" spans="7:10" x14ac:dyDescent="0.3">
      <c r="G747"/>
      <c r="H747"/>
      <c r="I747"/>
      <c r="J747"/>
    </row>
    <row r="748" spans="7:10" x14ac:dyDescent="0.3">
      <c r="G748"/>
      <c r="H748"/>
      <c r="I748"/>
      <c r="J748"/>
    </row>
    <row r="749" spans="7:10" x14ac:dyDescent="0.3">
      <c r="G749"/>
      <c r="H749"/>
      <c r="I749"/>
      <c r="J749"/>
    </row>
    <row r="750" spans="7:10" x14ac:dyDescent="0.3">
      <c r="G750"/>
      <c r="H750"/>
      <c r="I750"/>
      <c r="J750"/>
    </row>
    <row r="751" spans="7:10" x14ac:dyDescent="0.3">
      <c r="G751"/>
      <c r="H751"/>
      <c r="I751"/>
      <c r="J751"/>
    </row>
    <row r="752" spans="7:10" x14ac:dyDescent="0.3">
      <c r="G752"/>
      <c r="H752"/>
      <c r="I752"/>
      <c r="J752"/>
    </row>
    <row r="753" spans="7:10" x14ac:dyDescent="0.3">
      <c r="G753"/>
      <c r="H753"/>
      <c r="I753"/>
      <c r="J753"/>
    </row>
    <row r="754" spans="7:10" x14ac:dyDescent="0.3">
      <c r="G754"/>
      <c r="H754"/>
      <c r="I754"/>
      <c r="J754"/>
    </row>
    <row r="755" spans="7:10" x14ac:dyDescent="0.3">
      <c r="G755"/>
      <c r="H755"/>
      <c r="I755"/>
      <c r="J755"/>
    </row>
    <row r="756" spans="7:10" x14ac:dyDescent="0.3">
      <c r="G756"/>
      <c r="H756"/>
      <c r="I756"/>
      <c r="J756"/>
    </row>
    <row r="757" spans="7:10" x14ac:dyDescent="0.3">
      <c r="G757"/>
      <c r="H757"/>
      <c r="I757"/>
      <c r="J757"/>
    </row>
    <row r="758" spans="7:10" x14ac:dyDescent="0.3">
      <c r="G758"/>
      <c r="H758"/>
      <c r="I758"/>
      <c r="J758"/>
    </row>
    <row r="759" spans="7:10" x14ac:dyDescent="0.3">
      <c r="G759"/>
      <c r="H759"/>
      <c r="I759"/>
      <c r="J759"/>
    </row>
    <row r="760" spans="7:10" x14ac:dyDescent="0.3">
      <c r="G760"/>
      <c r="H760"/>
      <c r="I760"/>
      <c r="J760"/>
    </row>
    <row r="761" spans="7:10" x14ac:dyDescent="0.3">
      <c r="G761"/>
      <c r="H761"/>
      <c r="I761"/>
      <c r="J761"/>
    </row>
    <row r="762" spans="7:10" x14ac:dyDescent="0.3">
      <c r="G762"/>
      <c r="H762"/>
      <c r="I762"/>
      <c r="J762"/>
    </row>
    <row r="763" spans="7:10" x14ac:dyDescent="0.3">
      <c r="G763"/>
      <c r="H763"/>
      <c r="I763"/>
      <c r="J763"/>
    </row>
    <row r="764" spans="7:10" x14ac:dyDescent="0.3">
      <c r="G764"/>
      <c r="H764"/>
      <c r="I764"/>
      <c r="J764"/>
    </row>
    <row r="765" spans="7:10" x14ac:dyDescent="0.3">
      <c r="G765"/>
      <c r="H765"/>
      <c r="I765"/>
      <c r="J765"/>
    </row>
    <row r="766" spans="7:10" x14ac:dyDescent="0.3">
      <c r="G766"/>
      <c r="H766"/>
      <c r="I766"/>
      <c r="J766"/>
    </row>
    <row r="767" spans="7:10" x14ac:dyDescent="0.3">
      <c r="G767"/>
      <c r="H767"/>
      <c r="I767"/>
      <c r="J767"/>
    </row>
    <row r="768" spans="7:10" x14ac:dyDescent="0.3">
      <c r="G768"/>
      <c r="H768"/>
      <c r="I768"/>
      <c r="J768"/>
    </row>
    <row r="769" spans="7:10" x14ac:dyDescent="0.3">
      <c r="G769"/>
      <c r="H769"/>
      <c r="I769"/>
      <c r="J769"/>
    </row>
    <row r="770" spans="7:10" x14ac:dyDescent="0.3">
      <c r="G770"/>
      <c r="H770"/>
      <c r="I770"/>
      <c r="J770"/>
    </row>
    <row r="771" spans="7:10" x14ac:dyDescent="0.3">
      <c r="G771"/>
      <c r="H771"/>
      <c r="I771"/>
      <c r="J771"/>
    </row>
    <row r="772" spans="7:10" x14ac:dyDescent="0.3">
      <c r="G772"/>
      <c r="H772"/>
      <c r="I772"/>
      <c r="J772"/>
    </row>
    <row r="773" spans="7:10" x14ac:dyDescent="0.3">
      <c r="G773"/>
      <c r="H773"/>
      <c r="I773"/>
      <c r="J773"/>
    </row>
    <row r="774" spans="7:10" x14ac:dyDescent="0.3">
      <c r="G774"/>
      <c r="H774"/>
      <c r="I774"/>
      <c r="J774"/>
    </row>
    <row r="775" spans="7:10" x14ac:dyDescent="0.3">
      <c r="G775"/>
      <c r="H775"/>
      <c r="I775"/>
      <c r="J775"/>
    </row>
    <row r="776" spans="7:10" x14ac:dyDescent="0.3">
      <c r="G776"/>
      <c r="H776"/>
      <c r="I776"/>
      <c r="J776"/>
    </row>
    <row r="777" spans="7:10" x14ac:dyDescent="0.3">
      <c r="G777"/>
      <c r="H777"/>
      <c r="I777"/>
      <c r="J777"/>
    </row>
    <row r="778" spans="7:10" x14ac:dyDescent="0.3">
      <c r="G778"/>
      <c r="H778"/>
      <c r="I778"/>
      <c r="J778"/>
    </row>
    <row r="779" spans="7:10" x14ac:dyDescent="0.3">
      <c r="G779"/>
      <c r="H779"/>
      <c r="I779"/>
      <c r="J779"/>
    </row>
    <row r="780" spans="7:10" x14ac:dyDescent="0.3">
      <c r="G780"/>
      <c r="H780"/>
      <c r="I780"/>
      <c r="J780"/>
    </row>
    <row r="781" spans="7:10" x14ac:dyDescent="0.3">
      <c r="G781"/>
      <c r="H781"/>
      <c r="I781"/>
      <c r="J781"/>
    </row>
    <row r="782" spans="7:10" x14ac:dyDescent="0.3">
      <c r="G782"/>
      <c r="H782"/>
      <c r="I782"/>
      <c r="J782"/>
    </row>
    <row r="783" spans="7:10" x14ac:dyDescent="0.3">
      <c r="G783"/>
      <c r="H783"/>
      <c r="I783"/>
      <c r="J783"/>
    </row>
    <row r="784" spans="7:10" x14ac:dyDescent="0.3">
      <c r="G784"/>
      <c r="H784"/>
      <c r="I784"/>
      <c r="J784"/>
    </row>
    <row r="785" spans="7:10" x14ac:dyDescent="0.3">
      <c r="G785"/>
      <c r="H785"/>
      <c r="I785"/>
      <c r="J785"/>
    </row>
    <row r="786" spans="7:10" x14ac:dyDescent="0.3">
      <c r="G786"/>
      <c r="H786"/>
      <c r="I786"/>
      <c r="J786"/>
    </row>
    <row r="787" spans="7:10" x14ac:dyDescent="0.3">
      <c r="G787"/>
      <c r="H787"/>
      <c r="I787"/>
      <c r="J787"/>
    </row>
    <row r="788" spans="7:10" x14ac:dyDescent="0.3">
      <c r="G788"/>
      <c r="H788"/>
      <c r="I788"/>
      <c r="J788"/>
    </row>
    <row r="789" spans="7:10" x14ac:dyDescent="0.3">
      <c r="G789"/>
      <c r="H789"/>
      <c r="I789"/>
      <c r="J789"/>
    </row>
    <row r="790" spans="7:10" x14ac:dyDescent="0.3">
      <c r="G790"/>
      <c r="H790"/>
      <c r="I790"/>
      <c r="J790"/>
    </row>
    <row r="791" spans="7:10" x14ac:dyDescent="0.3">
      <c r="G791"/>
      <c r="H791"/>
      <c r="I791"/>
      <c r="J791"/>
    </row>
    <row r="792" spans="7:10" x14ac:dyDescent="0.3">
      <c r="G792"/>
      <c r="H792"/>
      <c r="I792"/>
      <c r="J792"/>
    </row>
    <row r="793" spans="7:10" x14ac:dyDescent="0.3">
      <c r="G793"/>
      <c r="H793"/>
      <c r="I793"/>
      <c r="J793"/>
    </row>
    <row r="794" spans="7:10" x14ac:dyDescent="0.3">
      <c r="G794"/>
      <c r="H794"/>
      <c r="I794"/>
      <c r="J794"/>
    </row>
    <row r="795" spans="7:10" x14ac:dyDescent="0.3">
      <c r="G795"/>
      <c r="H795"/>
      <c r="I795"/>
      <c r="J795"/>
    </row>
    <row r="796" spans="7:10" x14ac:dyDescent="0.3">
      <c r="G796"/>
      <c r="H796"/>
      <c r="I796"/>
      <c r="J796"/>
    </row>
    <row r="797" spans="7:10" x14ac:dyDescent="0.3">
      <c r="G797"/>
      <c r="H797"/>
      <c r="I797"/>
      <c r="J797"/>
    </row>
    <row r="798" spans="7:10" x14ac:dyDescent="0.3">
      <c r="G798"/>
      <c r="H798"/>
      <c r="I798"/>
      <c r="J798"/>
    </row>
    <row r="799" spans="7:10" x14ac:dyDescent="0.3">
      <c r="G799"/>
      <c r="H799"/>
      <c r="I799"/>
      <c r="J799"/>
    </row>
    <row r="800" spans="7:10" x14ac:dyDescent="0.3">
      <c r="G800"/>
      <c r="H800"/>
      <c r="I800"/>
      <c r="J800"/>
    </row>
    <row r="801" spans="7:10" x14ac:dyDescent="0.3">
      <c r="G801"/>
      <c r="H801"/>
      <c r="I801"/>
      <c r="J801"/>
    </row>
    <row r="802" spans="7:10" x14ac:dyDescent="0.3">
      <c r="G802"/>
      <c r="H802"/>
      <c r="I802"/>
      <c r="J802"/>
    </row>
    <row r="803" spans="7:10" x14ac:dyDescent="0.3">
      <c r="G803"/>
      <c r="H803"/>
      <c r="I803"/>
      <c r="J803"/>
    </row>
    <row r="804" spans="7:10" x14ac:dyDescent="0.3">
      <c r="G804"/>
      <c r="H804"/>
      <c r="I804"/>
      <c r="J804"/>
    </row>
    <row r="805" spans="7:10" x14ac:dyDescent="0.3">
      <c r="G805"/>
      <c r="H805"/>
      <c r="I805"/>
      <c r="J805"/>
    </row>
    <row r="806" spans="7:10" x14ac:dyDescent="0.3">
      <c r="G806"/>
      <c r="H806"/>
      <c r="I806"/>
      <c r="J806"/>
    </row>
    <row r="807" spans="7:10" x14ac:dyDescent="0.3">
      <c r="G807"/>
      <c r="H807"/>
      <c r="I807"/>
      <c r="J807"/>
    </row>
    <row r="808" spans="7:10" x14ac:dyDescent="0.3">
      <c r="G808"/>
      <c r="H808"/>
      <c r="I808"/>
      <c r="J808"/>
    </row>
    <row r="809" spans="7:10" x14ac:dyDescent="0.3">
      <c r="G809"/>
      <c r="H809"/>
      <c r="I809"/>
      <c r="J809"/>
    </row>
    <row r="810" spans="7:10" x14ac:dyDescent="0.3">
      <c r="G810"/>
      <c r="H810"/>
      <c r="I810"/>
      <c r="J810"/>
    </row>
    <row r="811" spans="7:10" x14ac:dyDescent="0.3">
      <c r="G811"/>
      <c r="H811"/>
      <c r="I811"/>
      <c r="J811"/>
    </row>
    <row r="812" spans="7:10" x14ac:dyDescent="0.3">
      <c r="G812"/>
      <c r="H812"/>
      <c r="I812"/>
      <c r="J812"/>
    </row>
    <row r="813" spans="7:10" x14ac:dyDescent="0.3">
      <c r="G813"/>
      <c r="H813"/>
      <c r="I813"/>
      <c r="J813"/>
    </row>
    <row r="814" spans="7:10" x14ac:dyDescent="0.3">
      <c r="G814"/>
      <c r="H814"/>
      <c r="I814"/>
      <c r="J814"/>
    </row>
    <row r="815" spans="7:10" x14ac:dyDescent="0.3">
      <c r="G815"/>
      <c r="H815"/>
      <c r="I815"/>
      <c r="J815"/>
    </row>
    <row r="816" spans="7:10" x14ac:dyDescent="0.3">
      <c r="G816"/>
      <c r="H816"/>
      <c r="I816"/>
      <c r="J816"/>
    </row>
    <row r="817" spans="7:10" x14ac:dyDescent="0.3">
      <c r="G817"/>
      <c r="H817"/>
      <c r="I817"/>
      <c r="J817"/>
    </row>
    <row r="818" spans="7:10" x14ac:dyDescent="0.3">
      <c r="G818"/>
      <c r="H818"/>
      <c r="I818"/>
      <c r="J818"/>
    </row>
    <row r="819" spans="7:10" x14ac:dyDescent="0.3">
      <c r="G819"/>
      <c r="H819"/>
      <c r="I819"/>
      <c r="J819"/>
    </row>
    <row r="820" spans="7:10" x14ac:dyDescent="0.3">
      <c r="G820"/>
      <c r="H820"/>
      <c r="I820"/>
      <c r="J820"/>
    </row>
    <row r="821" spans="7:10" x14ac:dyDescent="0.3">
      <c r="G821"/>
      <c r="H821"/>
      <c r="I821"/>
      <c r="J821"/>
    </row>
    <row r="822" spans="7:10" x14ac:dyDescent="0.3">
      <c r="G822"/>
      <c r="H822"/>
      <c r="I822"/>
      <c r="J822"/>
    </row>
    <row r="823" spans="7:10" x14ac:dyDescent="0.3">
      <c r="G823"/>
      <c r="H823"/>
      <c r="I823"/>
      <c r="J823"/>
    </row>
    <row r="824" spans="7:10" x14ac:dyDescent="0.3">
      <c r="G824"/>
      <c r="H824"/>
      <c r="I824"/>
      <c r="J824"/>
    </row>
    <row r="825" spans="7:10" x14ac:dyDescent="0.3">
      <c r="G825"/>
      <c r="H825"/>
      <c r="I825"/>
      <c r="J825"/>
    </row>
    <row r="826" spans="7:10" x14ac:dyDescent="0.3">
      <c r="G826"/>
      <c r="H826"/>
      <c r="I826"/>
      <c r="J826"/>
    </row>
    <row r="827" spans="7:10" x14ac:dyDescent="0.3">
      <c r="G827"/>
      <c r="H827"/>
      <c r="I827"/>
      <c r="J827"/>
    </row>
    <row r="828" spans="7:10" x14ac:dyDescent="0.3">
      <c r="G828"/>
      <c r="H828"/>
      <c r="I828"/>
      <c r="J828"/>
    </row>
    <row r="829" spans="7:10" x14ac:dyDescent="0.3">
      <c r="G829"/>
      <c r="H829"/>
      <c r="I829"/>
      <c r="J829"/>
    </row>
    <row r="830" spans="7:10" x14ac:dyDescent="0.3">
      <c r="G830"/>
      <c r="H830"/>
      <c r="I830"/>
      <c r="J830"/>
    </row>
    <row r="831" spans="7:10" x14ac:dyDescent="0.3">
      <c r="G831"/>
      <c r="H831"/>
      <c r="I831"/>
      <c r="J831"/>
    </row>
    <row r="832" spans="7:10" x14ac:dyDescent="0.3">
      <c r="G832"/>
      <c r="H832"/>
      <c r="I832"/>
      <c r="J832"/>
    </row>
    <row r="833" spans="7:10" x14ac:dyDescent="0.3">
      <c r="G833"/>
      <c r="H833"/>
      <c r="I833"/>
      <c r="J833"/>
    </row>
    <row r="834" spans="7:10" x14ac:dyDescent="0.3">
      <c r="G834"/>
      <c r="H834"/>
      <c r="I834"/>
      <c r="J834"/>
    </row>
    <row r="835" spans="7:10" x14ac:dyDescent="0.3">
      <c r="G835"/>
      <c r="H835"/>
      <c r="I835"/>
      <c r="J835"/>
    </row>
    <row r="836" spans="7:10" x14ac:dyDescent="0.3">
      <c r="G836"/>
      <c r="H836"/>
      <c r="I836"/>
      <c r="J836"/>
    </row>
    <row r="837" spans="7:10" x14ac:dyDescent="0.3">
      <c r="G837"/>
      <c r="H837"/>
      <c r="I837"/>
      <c r="J837"/>
    </row>
    <row r="838" spans="7:10" x14ac:dyDescent="0.3">
      <c r="G838"/>
      <c r="H838"/>
      <c r="I838"/>
      <c r="J838"/>
    </row>
    <row r="839" spans="7:10" x14ac:dyDescent="0.3">
      <c r="G839"/>
      <c r="H839"/>
      <c r="I839"/>
      <c r="J839"/>
    </row>
    <row r="840" spans="7:10" x14ac:dyDescent="0.3">
      <c r="G840"/>
      <c r="H840"/>
      <c r="I840"/>
      <c r="J840"/>
    </row>
    <row r="841" spans="7:10" x14ac:dyDescent="0.3">
      <c r="G841"/>
      <c r="H841"/>
      <c r="I841"/>
      <c r="J841"/>
    </row>
    <row r="842" spans="7:10" x14ac:dyDescent="0.3">
      <c r="G842"/>
      <c r="H842"/>
      <c r="I842"/>
      <c r="J842"/>
    </row>
    <row r="843" spans="7:10" x14ac:dyDescent="0.3">
      <c r="G843"/>
      <c r="H843"/>
      <c r="I843"/>
      <c r="J843"/>
    </row>
    <row r="844" spans="7:10" x14ac:dyDescent="0.3">
      <c r="G844"/>
      <c r="H844"/>
      <c r="I844"/>
      <c r="J844"/>
    </row>
    <row r="845" spans="7:10" x14ac:dyDescent="0.3">
      <c r="G845"/>
      <c r="H845"/>
      <c r="I845"/>
      <c r="J845"/>
    </row>
    <row r="846" spans="7:10" x14ac:dyDescent="0.3">
      <c r="G846"/>
      <c r="H846"/>
      <c r="I846"/>
      <c r="J846"/>
    </row>
    <row r="847" spans="7:10" x14ac:dyDescent="0.3">
      <c r="G847"/>
      <c r="H847"/>
      <c r="I847"/>
      <c r="J847"/>
    </row>
    <row r="848" spans="7:10" x14ac:dyDescent="0.3">
      <c r="G848"/>
      <c r="H848"/>
      <c r="I848"/>
      <c r="J848"/>
    </row>
    <row r="849" spans="7:10" x14ac:dyDescent="0.3">
      <c r="G849"/>
      <c r="H849"/>
      <c r="I849"/>
      <c r="J849"/>
    </row>
    <row r="850" spans="7:10" x14ac:dyDescent="0.3">
      <c r="G850"/>
      <c r="H850"/>
      <c r="I850"/>
      <c r="J850"/>
    </row>
    <row r="851" spans="7:10" x14ac:dyDescent="0.3">
      <c r="G851"/>
      <c r="H851"/>
      <c r="I851"/>
      <c r="J851"/>
    </row>
    <row r="852" spans="7:10" x14ac:dyDescent="0.3">
      <c r="G852"/>
      <c r="H852"/>
      <c r="I852"/>
      <c r="J852"/>
    </row>
    <row r="853" spans="7:10" x14ac:dyDescent="0.3">
      <c r="G853"/>
      <c r="H853"/>
      <c r="I853"/>
      <c r="J853"/>
    </row>
    <row r="854" spans="7:10" x14ac:dyDescent="0.3">
      <c r="G854"/>
      <c r="H854"/>
      <c r="I854"/>
      <c r="J854"/>
    </row>
    <row r="855" spans="7:10" x14ac:dyDescent="0.3">
      <c r="G855"/>
      <c r="H855"/>
      <c r="I855"/>
      <c r="J855"/>
    </row>
    <row r="856" spans="7:10" x14ac:dyDescent="0.3">
      <c r="G856"/>
      <c r="H856"/>
      <c r="I856"/>
      <c r="J856"/>
    </row>
    <row r="857" spans="7:10" x14ac:dyDescent="0.3">
      <c r="G857"/>
      <c r="H857"/>
      <c r="I857"/>
      <c r="J857"/>
    </row>
    <row r="858" spans="7:10" x14ac:dyDescent="0.3">
      <c r="G858"/>
      <c r="H858"/>
      <c r="I858"/>
      <c r="J858"/>
    </row>
    <row r="859" spans="7:10" x14ac:dyDescent="0.3">
      <c r="G859"/>
      <c r="H859"/>
      <c r="I859"/>
      <c r="J859"/>
    </row>
    <row r="860" spans="7:10" x14ac:dyDescent="0.3">
      <c r="G860"/>
      <c r="H860"/>
      <c r="I860"/>
      <c r="J860"/>
    </row>
    <row r="861" spans="7:10" x14ac:dyDescent="0.3">
      <c r="G861"/>
      <c r="H861"/>
      <c r="I861"/>
      <c r="J861"/>
    </row>
    <row r="862" spans="7:10" x14ac:dyDescent="0.3">
      <c r="G862"/>
      <c r="H862"/>
      <c r="I862"/>
      <c r="J862"/>
    </row>
    <row r="863" spans="7:10" x14ac:dyDescent="0.3">
      <c r="G863"/>
      <c r="H863"/>
      <c r="I863"/>
      <c r="J863"/>
    </row>
    <row r="864" spans="7:10" x14ac:dyDescent="0.3">
      <c r="G864"/>
      <c r="H864"/>
      <c r="I864"/>
      <c r="J864"/>
    </row>
    <row r="865" spans="7:10" x14ac:dyDescent="0.3">
      <c r="G865"/>
      <c r="H865"/>
      <c r="I865"/>
      <c r="J865"/>
    </row>
    <row r="866" spans="7:10" x14ac:dyDescent="0.3">
      <c r="G866"/>
      <c r="H866"/>
      <c r="I866"/>
      <c r="J866"/>
    </row>
    <row r="867" spans="7:10" x14ac:dyDescent="0.3">
      <c r="G867"/>
      <c r="H867"/>
      <c r="I867"/>
      <c r="J867"/>
    </row>
    <row r="868" spans="7:10" x14ac:dyDescent="0.3">
      <c r="G868"/>
      <c r="H868"/>
      <c r="I868"/>
      <c r="J868"/>
    </row>
    <row r="869" spans="7:10" x14ac:dyDescent="0.3">
      <c r="G869"/>
      <c r="H869"/>
      <c r="I869"/>
      <c r="J869"/>
    </row>
    <row r="870" spans="7:10" x14ac:dyDescent="0.3">
      <c r="G870"/>
      <c r="H870"/>
      <c r="I870"/>
      <c r="J870"/>
    </row>
    <row r="871" spans="7:10" x14ac:dyDescent="0.3">
      <c r="G871"/>
      <c r="H871"/>
      <c r="I871"/>
      <c r="J871"/>
    </row>
    <row r="872" spans="7:10" x14ac:dyDescent="0.3">
      <c r="G872"/>
      <c r="H872"/>
      <c r="I872"/>
      <c r="J872"/>
    </row>
    <row r="873" spans="7:10" x14ac:dyDescent="0.3">
      <c r="G873"/>
      <c r="H873"/>
      <c r="I873"/>
      <c r="J873"/>
    </row>
    <row r="874" spans="7:10" x14ac:dyDescent="0.3">
      <c r="G874"/>
      <c r="H874"/>
      <c r="I874"/>
      <c r="J874"/>
    </row>
    <row r="875" spans="7:10" x14ac:dyDescent="0.3">
      <c r="G875"/>
      <c r="H875"/>
      <c r="I875"/>
      <c r="J875"/>
    </row>
    <row r="876" spans="7:10" x14ac:dyDescent="0.3">
      <c r="G876"/>
      <c r="H876"/>
      <c r="I876"/>
      <c r="J876"/>
    </row>
    <row r="877" spans="7:10" x14ac:dyDescent="0.3">
      <c r="G877"/>
      <c r="H877"/>
      <c r="I877"/>
      <c r="J877"/>
    </row>
    <row r="878" spans="7:10" x14ac:dyDescent="0.3">
      <c r="G878"/>
      <c r="H878"/>
      <c r="I878"/>
      <c r="J878"/>
    </row>
    <row r="879" spans="7:10" x14ac:dyDescent="0.3">
      <c r="G879"/>
      <c r="H879"/>
      <c r="I879"/>
      <c r="J879"/>
    </row>
    <row r="880" spans="7:10" x14ac:dyDescent="0.3">
      <c r="G880"/>
      <c r="H880"/>
      <c r="I880"/>
      <c r="J880"/>
    </row>
    <row r="881" spans="7:10" x14ac:dyDescent="0.3">
      <c r="G881"/>
      <c r="H881"/>
      <c r="I881"/>
      <c r="J881"/>
    </row>
    <row r="882" spans="7:10" x14ac:dyDescent="0.3">
      <c r="G882"/>
      <c r="H882"/>
      <c r="I882"/>
      <c r="J882"/>
    </row>
    <row r="883" spans="7:10" x14ac:dyDescent="0.3">
      <c r="G883"/>
      <c r="H883"/>
      <c r="I883"/>
      <c r="J883"/>
    </row>
    <row r="884" spans="7:10" x14ac:dyDescent="0.3">
      <c r="G884"/>
      <c r="H884"/>
      <c r="I884"/>
      <c r="J884"/>
    </row>
    <row r="885" spans="7:10" x14ac:dyDescent="0.3">
      <c r="G885"/>
      <c r="H885"/>
      <c r="I885"/>
      <c r="J885"/>
    </row>
    <row r="886" spans="7:10" x14ac:dyDescent="0.3">
      <c r="G886"/>
      <c r="H886"/>
      <c r="I886"/>
      <c r="J886"/>
    </row>
    <row r="887" spans="7:10" x14ac:dyDescent="0.3">
      <c r="G887"/>
      <c r="H887"/>
      <c r="I887"/>
      <c r="J887"/>
    </row>
    <row r="888" spans="7:10" x14ac:dyDescent="0.3">
      <c r="G888"/>
      <c r="H888"/>
      <c r="I888"/>
      <c r="J888"/>
    </row>
    <row r="889" spans="7:10" x14ac:dyDescent="0.3">
      <c r="G889"/>
      <c r="H889"/>
      <c r="I889"/>
      <c r="J889"/>
    </row>
    <row r="890" spans="7:10" x14ac:dyDescent="0.3">
      <c r="G890"/>
      <c r="H890"/>
      <c r="I890"/>
      <c r="J890"/>
    </row>
    <row r="891" spans="7:10" x14ac:dyDescent="0.3">
      <c r="G891"/>
      <c r="H891"/>
      <c r="I891"/>
      <c r="J891"/>
    </row>
    <row r="892" spans="7:10" x14ac:dyDescent="0.3">
      <c r="G892"/>
      <c r="H892"/>
      <c r="I892"/>
      <c r="J892"/>
    </row>
    <row r="893" spans="7:10" x14ac:dyDescent="0.3">
      <c r="G893"/>
      <c r="H893"/>
      <c r="I893"/>
      <c r="J893"/>
    </row>
    <row r="894" spans="7:10" x14ac:dyDescent="0.3">
      <c r="G894"/>
      <c r="H894"/>
      <c r="I894"/>
      <c r="J894"/>
    </row>
    <row r="895" spans="7:10" x14ac:dyDescent="0.3">
      <c r="G895"/>
      <c r="H895"/>
      <c r="I895"/>
      <c r="J895"/>
    </row>
    <row r="896" spans="7:10" x14ac:dyDescent="0.3">
      <c r="G896"/>
      <c r="H896"/>
      <c r="I896"/>
      <c r="J896"/>
    </row>
    <row r="897" spans="7:10" x14ac:dyDescent="0.3">
      <c r="G897"/>
      <c r="H897"/>
      <c r="I897"/>
      <c r="J897"/>
    </row>
    <row r="898" spans="7:10" x14ac:dyDescent="0.3">
      <c r="G898"/>
      <c r="H898"/>
      <c r="I898"/>
      <c r="J898"/>
    </row>
    <row r="899" spans="7:10" x14ac:dyDescent="0.3">
      <c r="G899"/>
      <c r="H899"/>
      <c r="I899"/>
      <c r="J899"/>
    </row>
    <row r="900" spans="7:10" x14ac:dyDescent="0.3">
      <c r="G900"/>
      <c r="H900"/>
      <c r="I900"/>
      <c r="J900"/>
    </row>
    <row r="901" spans="7:10" x14ac:dyDescent="0.3">
      <c r="G901"/>
      <c r="H901"/>
      <c r="I901"/>
      <c r="J901"/>
    </row>
    <row r="902" spans="7:10" x14ac:dyDescent="0.3">
      <c r="G902"/>
      <c r="H902"/>
      <c r="I902"/>
      <c r="J902"/>
    </row>
    <row r="903" spans="7:10" x14ac:dyDescent="0.3">
      <c r="G903"/>
      <c r="H903"/>
      <c r="I903"/>
      <c r="J903"/>
    </row>
    <row r="904" spans="7:10" x14ac:dyDescent="0.3">
      <c r="G904"/>
      <c r="H904"/>
      <c r="I904"/>
      <c r="J904"/>
    </row>
    <row r="905" spans="7:10" x14ac:dyDescent="0.3">
      <c r="G905"/>
      <c r="H905"/>
      <c r="I905"/>
      <c r="J905"/>
    </row>
    <row r="906" spans="7:10" x14ac:dyDescent="0.3">
      <c r="G906"/>
      <c r="H906"/>
      <c r="I906"/>
      <c r="J906"/>
    </row>
    <row r="907" spans="7:10" x14ac:dyDescent="0.3">
      <c r="G907"/>
      <c r="H907"/>
      <c r="I907"/>
      <c r="J907"/>
    </row>
    <row r="908" spans="7:10" x14ac:dyDescent="0.3">
      <c r="G908"/>
      <c r="H908"/>
      <c r="I908"/>
      <c r="J908"/>
    </row>
    <row r="909" spans="7:10" x14ac:dyDescent="0.3">
      <c r="G909"/>
      <c r="H909"/>
      <c r="I909"/>
      <c r="J909"/>
    </row>
    <row r="910" spans="7:10" x14ac:dyDescent="0.3">
      <c r="G910"/>
      <c r="H910"/>
      <c r="I910"/>
      <c r="J910"/>
    </row>
    <row r="911" spans="7:10" x14ac:dyDescent="0.3">
      <c r="G911"/>
      <c r="H911"/>
      <c r="I911"/>
      <c r="J911"/>
    </row>
    <row r="912" spans="7:10" x14ac:dyDescent="0.3">
      <c r="G912"/>
      <c r="H912"/>
      <c r="I912"/>
      <c r="J912"/>
    </row>
    <row r="913" spans="7:10" x14ac:dyDescent="0.3">
      <c r="G913"/>
      <c r="H913"/>
      <c r="I913"/>
      <c r="J913"/>
    </row>
    <row r="914" spans="7:10" x14ac:dyDescent="0.3">
      <c r="G914"/>
      <c r="H914"/>
      <c r="I914"/>
      <c r="J914"/>
    </row>
    <row r="915" spans="7:10" x14ac:dyDescent="0.3">
      <c r="G915"/>
      <c r="H915"/>
      <c r="I915"/>
      <c r="J915"/>
    </row>
    <row r="916" spans="7:10" x14ac:dyDescent="0.3">
      <c r="G916"/>
      <c r="H916"/>
      <c r="I916"/>
      <c r="J916"/>
    </row>
    <row r="917" spans="7:10" x14ac:dyDescent="0.3">
      <c r="G917"/>
      <c r="H917"/>
      <c r="I917"/>
      <c r="J917"/>
    </row>
    <row r="918" spans="7:10" x14ac:dyDescent="0.3">
      <c r="G918"/>
      <c r="H918"/>
      <c r="I918"/>
      <c r="J918"/>
    </row>
    <row r="919" spans="7:10" x14ac:dyDescent="0.3">
      <c r="G919"/>
      <c r="H919"/>
      <c r="I919"/>
      <c r="J919"/>
    </row>
    <row r="920" spans="7:10" x14ac:dyDescent="0.3">
      <c r="G920"/>
      <c r="H920"/>
      <c r="I920"/>
      <c r="J920"/>
    </row>
    <row r="921" spans="7:10" x14ac:dyDescent="0.3">
      <c r="G921"/>
      <c r="H921"/>
      <c r="I921"/>
      <c r="J921"/>
    </row>
    <row r="922" spans="7:10" x14ac:dyDescent="0.3">
      <c r="G922"/>
      <c r="H922"/>
      <c r="I922"/>
      <c r="J922"/>
    </row>
    <row r="923" spans="7:10" x14ac:dyDescent="0.3">
      <c r="G923"/>
      <c r="H923"/>
      <c r="I923"/>
      <c r="J923"/>
    </row>
    <row r="924" spans="7:10" x14ac:dyDescent="0.3">
      <c r="G924"/>
      <c r="H924"/>
      <c r="I924"/>
      <c r="J924"/>
    </row>
    <row r="925" spans="7:10" x14ac:dyDescent="0.3">
      <c r="G925"/>
      <c r="H925"/>
      <c r="I925"/>
      <c r="J925"/>
    </row>
    <row r="926" spans="7:10" x14ac:dyDescent="0.3">
      <c r="G926"/>
      <c r="H926"/>
      <c r="I926"/>
      <c r="J926"/>
    </row>
    <row r="927" spans="7:10" x14ac:dyDescent="0.3">
      <c r="G927"/>
      <c r="H927"/>
      <c r="I927"/>
      <c r="J927"/>
    </row>
    <row r="928" spans="7:10" x14ac:dyDescent="0.3">
      <c r="G928"/>
      <c r="H928"/>
      <c r="I928"/>
      <c r="J928"/>
    </row>
    <row r="929" spans="7:10" x14ac:dyDescent="0.3">
      <c r="G929"/>
      <c r="H929"/>
      <c r="I929"/>
      <c r="J929"/>
    </row>
    <row r="930" spans="7:10" x14ac:dyDescent="0.3">
      <c r="G930"/>
      <c r="H930"/>
      <c r="I930"/>
      <c r="J930"/>
    </row>
    <row r="931" spans="7:10" x14ac:dyDescent="0.3">
      <c r="G931"/>
      <c r="H931"/>
      <c r="I931"/>
      <c r="J931"/>
    </row>
    <row r="932" spans="7:10" x14ac:dyDescent="0.3">
      <c r="G932"/>
      <c r="H932"/>
      <c r="I932"/>
      <c r="J932"/>
    </row>
    <row r="933" spans="7:10" x14ac:dyDescent="0.3">
      <c r="G933"/>
      <c r="H933"/>
      <c r="I933"/>
      <c r="J933"/>
    </row>
    <row r="934" spans="7:10" x14ac:dyDescent="0.3">
      <c r="G934"/>
      <c r="H934"/>
      <c r="I934"/>
      <c r="J934"/>
    </row>
    <row r="935" spans="7:10" x14ac:dyDescent="0.3">
      <c r="G935"/>
      <c r="H935"/>
      <c r="I935"/>
      <c r="J935"/>
    </row>
    <row r="936" spans="7:10" x14ac:dyDescent="0.3">
      <c r="G936"/>
      <c r="H936"/>
      <c r="I936"/>
      <c r="J936"/>
    </row>
    <row r="937" spans="7:10" x14ac:dyDescent="0.3">
      <c r="G937"/>
      <c r="H937"/>
      <c r="I937"/>
      <c r="J937"/>
    </row>
    <row r="938" spans="7:10" x14ac:dyDescent="0.3">
      <c r="G938"/>
      <c r="H938"/>
      <c r="I938"/>
      <c r="J938"/>
    </row>
    <row r="939" spans="7:10" x14ac:dyDescent="0.3">
      <c r="G939"/>
      <c r="H939"/>
      <c r="I939"/>
      <c r="J939"/>
    </row>
    <row r="940" spans="7:10" x14ac:dyDescent="0.3">
      <c r="G940"/>
      <c r="H940"/>
      <c r="I940"/>
      <c r="J940"/>
    </row>
    <row r="941" spans="7:10" x14ac:dyDescent="0.3">
      <c r="G941"/>
      <c r="H941"/>
      <c r="I941"/>
      <c r="J941"/>
    </row>
    <row r="942" spans="7:10" x14ac:dyDescent="0.3">
      <c r="G942"/>
      <c r="H942"/>
      <c r="I942"/>
      <c r="J942"/>
    </row>
    <row r="943" spans="7:10" x14ac:dyDescent="0.3">
      <c r="G943"/>
      <c r="H943"/>
      <c r="I943"/>
      <c r="J943"/>
    </row>
    <row r="944" spans="7:10" x14ac:dyDescent="0.3">
      <c r="G944"/>
      <c r="H944"/>
      <c r="I944"/>
      <c r="J944"/>
    </row>
    <row r="945" spans="7:10" x14ac:dyDescent="0.3">
      <c r="G945"/>
      <c r="H945"/>
      <c r="I945"/>
      <c r="J945"/>
    </row>
    <row r="946" spans="7:10" x14ac:dyDescent="0.3">
      <c r="G946"/>
      <c r="H946"/>
      <c r="I946"/>
      <c r="J946"/>
    </row>
    <row r="947" spans="7:10" x14ac:dyDescent="0.3">
      <c r="G947"/>
      <c r="H947"/>
      <c r="I947"/>
      <c r="J947"/>
    </row>
    <row r="948" spans="7:10" x14ac:dyDescent="0.3">
      <c r="G948"/>
      <c r="H948"/>
      <c r="I948"/>
      <c r="J948"/>
    </row>
    <row r="949" spans="7:10" x14ac:dyDescent="0.3">
      <c r="G949"/>
      <c r="H949"/>
      <c r="I949"/>
      <c r="J949"/>
    </row>
    <row r="950" spans="7:10" x14ac:dyDescent="0.3">
      <c r="G950"/>
      <c r="H950"/>
      <c r="I950"/>
      <c r="J950"/>
    </row>
    <row r="951" spans="7:10" x14ac:dyDescent="0.3">
      <c r="G951"/>
      <c r="H951"/>
      <c r="I951"/>
      <c r="J951"/>
    </row>
    <row r="952" spans="7:10" x14ac:dyDescent="0.3">
      <c r="G952"/>
      <c r="H952"/>
      <c r="I952"/>
      <c r="J952"/>
    </row>
    <row r="953" spans="7:10" x14ac:dyDescent="0.3">
      <c r="G953"/>
      <c r="H953"/>
      <c r="I953"/>
      <c r="J953"/>
    </row>
    <row r="954" spans="7:10" x14ac:dyDescent="0.3">
      <c r="G954"/>
      <c r="H954"/>
      <c r="I954"/>
      <c r="J954"/>
    </row>
    <row r="955" spans="7:10" x14ac:dyDescent="0.3">
      <c r="G955"/>
      <c r="H955"/>
      <c r="I955"/>
      <c r="J955"/>
    </row>
    <row r="956" spans="7:10" x14ac:dyDescent="0.3">
      <c r="G956"/>
      <c r="H956"/>
      <c r="I956"/>
      <c r="J956"/>
    </row>
    <row r="957" spans="7:10" x14ac:dyDescent="0.3">
      <c r="G957"/>
      <c r="H957"/>
      <c r="I957"/>
      <c r="J957"/>
    </row>
    <row r="958" spans="7:10" x14ac:dyDescent="0.3">
      <c r="G958"/>
      <c r="H958"/>
      <c r="I958"/>
      <c r="J958"/>
    </row>
    <row r="959" spans="7:10" x14ac:dyDescent="0.3">
      <c r="G959"/>
      <c r="H959"/>
      <c r="I959"/>
      <c r="J959"/>
    </row>
    <row r="960" spans="7:10" x14ac:dyDescent="0.3">
      <c r="G960"/>
      <c r="H960"/>
      <c r="I960"/>
      <c r="J960"/>
    </row>
    <row r="961" spans="7:10" x14ac:dyDescent="0.3">
      <c r="G961"/>
      <c r="H961"/>
      <c r="I961"/>
      <c r="J961"/>
    </row>
    <row r="962" spans="7:10" x14ac:dyDescent="0.3">
      <c r="G962"/>
      <c r="H962"/>
      <c r="I962"/>
      <c r="J962"/>
    </row>
    <row r="963" spans="7:10" x14ac:dyDescent="0.3">
      <c r="G963"/>
      <c r="H963"/>
      <c r="I963"/>
      <c r="J963"/>
    </row>
    <row r="964" spans="7:10" x14ac:dyDescent="0.3">
      <c r="G964"/>
      <c r="H964"/>
      <c r="I964"/>
      <c r="J964"/>
    </row>
    <row r="965" spans="7:10" x14ac:dyDescent="0.3">
      <c r="G965"/>
      <c r="H965"/>
      <c r="I965"/>
      <c r="J965"/>
    </row>
    <row r="966" spans="7:10" x14ac:dyDescent="0.3">
      <c r="G966"/>
      <c r="H966"/>
      <c r="I966"/>
      <c r="J966"/>
    </row>
    <row r="967" spans="7:10" x14ac:dyDescent="0.3">
      <c r="G967"/>
      <c r="H967"/>
      <c r="I967"/>
      <c r="J967"/>
    </row>
    <row r="968" spans="7:10" x14ac:dyDescent="0.3">
      <c r="G968"/>
      <c r="H968"/>
      <c r="I968"/>
      <c r="J968"/>
    </row>
    <row r="969" spans="7:10" x14ac:dyDescent="0.3">
      <c r="G969"/>
      <c r="H969"/>
      <c r="I969"/>
      <c r="J969"/>
    </row>
    <row r="970" spans="7:10" x14ac:dyDescent="0.3">
      <c r="G970"/>
      <c r="H970"/>
      <c r="I970"/>
      <c r="J970"/>
    </row>
    <row r="971" spans="7:10" x14ac:dyDescent="0.3">
      <c r="G971"/>
      <c r="H971"/>
      <c r="I971"/>
      <c r="J971"/>
    </row>
    <row r="972" spans="7:10" x14ac:dyDescent="0.3">
      <c r="G972"/>
      <c r="H972"/>
      <c r="I972"/>
      <c r="J972"/>
    </row>
    <row r="973" spans="7:10" x14ac:dyDescent="0.3">
      <c r="G973"/>
      <c r="H973"/>
      <c r="I973"/>
      <c r="J973"/>
    </row>
    <row r="974" spans="7:10" x14ac:dyDescent="0.3">
      <c r="G974"/>
      <c r="H974"/>
      <c r="I974"/>
      <c r="J974"/>
    </row>
    <row r="975" spans="7:10" x14ac:dyDescent="0.3">
      <c r="G975"/>
      <c r="H975"/>
      <c r="I975"/>
      <c r="J975"/>
    </row>
    <row r="976" spans="7:10" x14ac:dyDescent="0.3">
      <c r="G976"/>
      <c r="H976"/>
      <c r="I976"/>
      <c r="J976"/>
    </row>
    <row r="977" spans="7:10" x14ac:dyDescent="0.3">
      <c r="G977"/>
      <c r="H977"/>
      <c r="I977"/>
      <c r="J977"/>
    </row>
    <row r="978" spans="7:10" x14ac:dyDescent="0.3">
      <c r="G978"/>
      <c r="H978"/>
      <c r="I978"/>
      <c r="J978"/>
    </row>
    <row r="979" spans="7:10" x14ac:dyDescent="0.3">
      <c r="G979"/>
      <c r="H979"/>
      <c r="I979"/>
      <c r="J979"/>
    </row>
    <row r="980" spans="7:10" x14ac:dyDescent="0.3">
      <c r="G980"/>
      <c r="H980"/>
      <c r="I980"/>
      <c r="J980"/>
    </row>
    <row r="981" spans="7:10" x14ac:dyDescent="0.3">
      <c r="G981"/>
      <c r="H981"/>
      <c r="I981"/>
      <c r="J981"/>
    </row>
    <row r="982" spans="7:10" x14ac:dyDescent="0.3">
      <c r="G982"/>
      <c r="H982"/>
      <c r="I982"/>
      <c r="J982"/>
    </row>
    <row r="983" spans="7:10" x14ac:dyDescent="0.3">
      <c r="G983"/>
      <c r="H983"/>
      <c r="I983"/>
      <c r="J983"/>
    </row>
    <row r="984" spans="7:10" x14ac:dyDescent="0.3">
      <c r="G984"/>
      <c r="H984"/>
      <c r="I984"/>
      <c r="J984"/>
    </row>
    <row r="985" spans="7:10" x14ac:dyDescent="0.3">
      <c r="G985"/>
      <c r="H985"/>
      <c r="I985"/>
      <c r="J985"/>
    </row>
    <row r="986" spans="7:10" x14ac:dyDescent="0.3">
      <c r="G986"/>
      <c r="H986"/>
      <c r="I986"/>
      <c r="J986"/>
    </row>
    <row r="987" spans="7:10" x14ac:dyDescent="0.3">
      <c r="G987"/>
      <c r="H987"/>
      <c r="I987"/>
      <c r="J987"/>
    </row>
    <row r="988" spans="7:10" x14ac:dyDescent="0.3">
      <c r="G988"/>
      <c r="H988"/>
      <c r="I988"/>
      <c r="J988"/>
    </row>
    <row r="989" spans="7:10" x14ac:dyDescent="0.3">
      <c r="G989"/>
      <c r="H989"/>
      <c r="I989"/>
      <c r="J989"/>
    </row>
    <row r="990" spans="7:10" x14ac:dyDescent="0.3">
      <c r="G990"/>
      <c r="H990"/>
      <c r="I990"/>
      <c r="J990"/>
    </row>
    <row r="991" spans="7:10" x14ac:dyDescent="0.3">
      <c r="G991"/>
      <c r="H991"/>
      <c r="I991"/>
      <c r="J991"/>
    </row>
    <row r="992" spans="7:10" x14ac:dyDescent="0.3">
      <c r="G992"/>
      <c r="H992"/>
      <c r="I992"/>
      <c r="J992"/>
    </row>
    <row r="993" spans="7:10" x14ac:dyDescent="0.3">
      <c r="G993"/>
      <c r="H993"/>
      <c r="I993"/>
      <c r="J993"/>
    </row>
    <row r="994" spans="7:10" x14ac:dyDescent="0.3">
      <c r="G994"/>
      <c r="H994"/>
      <c r="I994"/>
      <c r="J994"/>
    </row>
    <row r="995" spans="7:10" x14ac:dyDescent="0.3">
      <c r="G995"/>
      <c r="H995"/>
      <c r="I995"/>
      <c r="J995"/>
    </row>
    <row r="996" spans="7:10" x14ac:dyDescent="0.3">
      <c r="G996"/>
      <c r="H996"/>
      <c r="I996"/>
      <c r="J996"/>
    </row>
    <row r="997" spans="7:10" x14ac:dyDescent="0.3">
      <c r="G997"/>
      <c r="H997"/>
      <c r="I997"/>
      <c r="J997"/>
    </row>
    <row r="998" spans="7:10" x14ac:dyDescent="0.3">
      <c r="G998"/>
      <c r="H998"/>
      <c r="I998"/>
      <c r="J998"/>
    </row>
    <row r="999" spans="7:10" x14ac:dyDescent="0.3">
      <c r="G999"/>
      <c r="H999"/>
      <c r="I999"/>
      <c r="J999"/>
    </row>
    <row r="1000" spans="7:10" x14ac:dyDescent="0.3">
      <c r="G1000"/>
      <c r="H1000"/>
      <c r="I1000"/>
      <c r="J1000"/>
    </row>
    <row r="1001" spans="7:10" x14ac:dyDescent="0.3">
      <c r="G1001"/>
      <c r="H1001"/>
      <c r="I1001"/>
      <c r="J1001"/>
    </row>
    <row r="1002" spans="7:10" x14ac:dyDescent="0.3">
      <c r="G1002"/>
      <c r="H1002"/>
      <c r="I1002"/>
      <c r="J1002"/>
    </row>
    <row r="1003" spans="7:10" x14ac:dyDescent="0.3">
      <c r="G1003"/>
      <c r="H1003"/>
      <c r="I1003"/>
      <c r="J1003"/>
    </row>
    <row r="1004" spans="7:10" x14ac:dyDescent="0.3">
      <c r="G1004"/>
      <c r="H1004"/>
      <c r="I1004"/>
      <c r="J1004"/>
    </row>
    <row r="1005" spans="7:10" x14ac:dyDescent="0.3">
      <c r="G1005"/>
      <c r="H1005"/>
      <c r="I1005"/>
      <c r="J1005"/>
    </row>
    <row r="1006" spans="7:10" x14ac:dyDescent="0.3">
      <c r="G1006"/>
      <c r="H1006"/>
      <c r="I1006"/>
      <c r="J1006"/>
    </row>
    <row r="1007" spans="7:10" x14ac:dyDescent="0.3">
      <c r="G1007"/>
      <c r="H1007"/>
      <c r="I1007"/>
      <c r="J1007"/>
    </row>
    <row r="1008" spans="7:10" x14ac:dyDescent="0.3">
      <c r="G1008"/>
      <c r="H1008"/>
      <c r="I1008"/>
      <c r="J1008"/>
    </row>
    <row r="1009" spans="7:10" x14ac:dyDescent="0.3">
      <c r="G1009"/>
      <c r="H1009"/>
      <c r="I1009"/>
      <c r="J1009"/>
    </row>
    <row r="1010" spans="7:10" x14ac:dyDescent="0.3">
      <c r="G1010"/>
      <c r="H1010"/>
      <c r="I1010"/>
      <c r="J1010"/>
    </row>
    <row r="1011" spans="7:10" x14ac:dyDescent="0.3">
      <c r="G1011"/>
      <c r="H1011"/>
      <c r="I1011"/>
      <c r="J1011"/>
    </row>
    <row r="1012" spans="7:10" x14ac:dyDescent="0.3">
      <c r="G1012"/>
      <c r="H1012"/>
      <c r="I1012"/>
      <c r="J1012"/>
    </row>
    <row r="1013" spans="7:10" x14ac:dyDescent="0.3">
      <c r="G1013"/>
      <c r="H1013"/>
      <c r="I1013"/>
    </row>
    <row r="1014" spans="7:10" x14ac:dyDescent="0.3">
      <c r="G1014"/>
      <c r="H1014"/>
      <c r="I1014"/>
    </row>
    <row r="1015" spans="7:10" x14ac:dyDescent="0.3">
      <c r="G1015"/>
      <c r="H1015"/>
      <c r="I1015"/>
    </row>
    <row r="1016" spans="7:10" x14ac:dyDescent="0.3">
      <c r="G1016"/>
      <c r="H1016"/>
      <c r="I1016"/>
    </row>
    <row r="1017" spans="7:10" x14ac:dyDescent="0.3">
      <c r="G1017"/>
      <c r="H1017"/>
      <c r="I1017"/>
    </row>
    <row r="1018" spans="7:10" x14ac:dyDescent="0.3">
      <c r="G1018"/>
      <c r="H1018"/>
      <c r="I1018"/>
    </row>
    <row r="1019" spans="7:10" x14ac:dyDescent="0.3">
      <c r="G1019"/>
      <c r="H1019"/>
      <c r="I1019"/>
    </row>
    <row r="1020" spans="7:10" x14ac:dyDescent="0.3">
      <c r="G1020"/>
      <c r="H1020"/>
      <c r="I1020"/>
    </row>
    <row r="1021" spans="7:10" x14ac:dyDescent="0.3">
      <c r="G1021"/>
      <c r="H1021"/>
      <c r="I1021"/>
    </row>
    <row r="1022" spans="7:10" x14ac:dyDescent="0.3">
      <c r="G1022"/>
      <c r="H1022"/>
      <c r="I1022"/>
    </row>
    <row r="1023" spans="7:10" x14ac:dyDescent="0.3">
      <c r="G1023"/>
      <c r="H1023"/>
      <c r="I1023"/>
    </row>
    <row r="1024" spans="7:10" x14ac:dyDescent="0.3">
      <c r="G1024"/>
      <c r="H1024"/>
      <c r="I1024"/>
    </row>
    <row r="1025" spans="7:9" x14ac:dyDescent="0.3">
      <c r="G1025"/>
      <c r="H1025"/>
      <c r="I1025"/>
    </row>
    <row r="1026" spans="7:9" x14ac:dyDescent="0.3">
      <c r="G1026"/>
      <c r="H1026"/>
      <c r="I1026"/>
    </row>
    <row r="1027" spans="7:9" x14ac:dyDescent="0.3">
      <c r="G1027"/>
      <c r="H1027"/>
      <c r="I1027"/>
    </row>
    <row r="1028" spans="7:9" x14ac:dyDescent="0.3">
      <c r="G1028"/>
      <c r="H1028"/>
      <c r="I1028"/>
    </row>
    <row r="1029" spans="7:9" x14ac:dyDescent="0.3">
      <c r="G1029"/>
      <c r="H1029"/>
      <c r="I1029"/>
    </row>
    <row r="1030" spans="7:9" x14ac:dyDescent="0.3">
      <c r="G1030"/>
      <c r="H1030"/>
      <c r="I1030"/>
    </row>
    <row r="1031" spans="7:9" x14ac:dyDescent="0.3">
      <c r="G1031"/>
      <c r="H1031"/>
      <c r="I1031"/>
    </row>
    <row r="1032" spans="7:9" x14ac:dyDescent="0.3">
      <c r="G1032"/>
      <c r="H1032"/>
      <c r="I1032"/>
    </row>
    <row r="1033" spans="7:9" x14ac:dyDescent="0.3">
      <c r="G1033"/>
      <c r="H1033"/>
      <c r="I1033"/>
    </row>
    <row r="1034" spans="7:9" x14ac:dyDescent="0.3">
      <c r="G1034"/>
      <c r="H1034"/>
      <c r="I1034"/>
    </row>
    <row r="1035" spans="7:9" x14ac:dyDescent="0.3">
      <c r="G1035"/>
      <c r="H1035"/>
      <c r="I1035"/>
    </row>
    <row r="1036" spans="7:9" x14ac:dyDescent="0.3">
      <c r="G1036"/>
      <c r="H1036"/>
      <c r="I1036"/>
    </row>
    <row r="1037" spans="7:9" x14ac:dyDescent="0.3">
      <c r="G1037"/>
      <c r="H1037"/>
      <c r="I1037"/>
    </row>
    <row r="1038" spans="7:9" x14ac:dyDescent="0.3">
      <c r="G1038"/>
      <c r="H1038"/>
      <c r="I1038"/>
    </row>
    <row r="1039" spans="7:9" x14ac:dyDescent="0.3">
      <c r="G1039"/>
      <c r="H1039"/>
      <c r="I1039"/>
    </row>
    <row r="1040" spans="7:9" x14ac:dyDescent="0.3">
      <c r="G1040"/>
      <c r="H1040"/>
      <c r="I1040"/>
    </row>
    <row r="1041" spans="7:9" x14ac:dyDescent="0.3">
      <c r="G1041"/>
      <c r="H1041"/>
      <c r="I1041"/>
    </row>
    <row r="1042" spans="7:9" x14ac:dyDescent="0.3">
      <c r="G1042"/>
      <c r="H1042"/>
      <c r="I1042"/>
    </row>
    <row r="1043" spans="7:9" x14ac:dyDescent="0.3">
      <c r="G1043"/>
      <c r="H1043"/>
      <c r="I1043"/>
    </row>
    <row r="1044" spans="7:9" x14ac:dyDescent="0.3">
      <c r="G1044"/>
      <c r="H1044"/>
      <c r="I1044"/>
    </row>
    <row r="1045" spans="7:9" x14ac:dyDescent="0.3">
      <c r="G1045"/>
      <c r="H1045"/>
      <c r="I1045"/>
    </row>
    <row r="1046" spans="7:9" x14ac:dyDescent="0.3">
      <c r="G1046"/>
      <c r="H1046"/>
      <c r="I1046"/>
    </row>
    <row r="1047" spans="7:9" x14ac:dyDescent="0.3">
      <c r="G1047"/>
      <c r="H1047"/>
      <c r="I1047"/>
    </row>
    <row r="1048" spans="7:9" x14ac:dyDescent="0.3">
      <c r="G1048"/>
      <c r="H1048"/>
      <c r="I1048"/>
    </row>
    <row r="1049" spans="7:9" x14ac:dyDescent="0.3">
      <c r="G1049"/>
      <c r="H1049"/>
      <c r="I1049"/>
    </row>
    <row r="1050" spans="7:9" x14ac:dyDescent="0.3">
      <c r="G1050"/>
      <c r="H1050"/>
      <c r="I1050"/>
    </row>
    <row r="1051" spans="7:9" x14ac:dyDescent="0.3">
      <c r="G1051"/>
      <c r="H1051"/>
      <c r="I1051"/>
    </row>
    <row r="1052" spans="7:9" x14ac:dyDescent="0.3">
      <c r="G1052"/>
      <c r="H1052"/>
      <c r="I1052"/>
    </row>
    <row r="1053" spans="7:9" x14ac:dyDescent="0.3">
      <c r="G1053"/>
      <c r="H1053"/>
      <c r="I1053"/>
    </row>
    <row r="1054" spans="7:9" x14ac:dyDescent="0.3">
      <c r="G1054"/>
      <c r="H1054"/>
      <c r="I1054"/>
    </row>
    <row r="1055" spans="7:9" x14ac:dyDescent="0.3">
      <c r="G1055"/>
      <c r="H1055"/>
      <c r="I1055"/>
    </row>
    <row r="1056" spans="7:9" x14ac:dyDescent="0.3">
      <c r="G1056"/>
      <c r="H1056"/>
      <c r="I1056"/>
    </row>
    <row r="1057" spans="7:9" x14ac:dyDescent="0.3">
      <c r="G1057"/>
      <c r="H1057"/>
      <c r="I1057"/>
    </row>
    <row r="1058" spans="7:9" x14ac:dyDescent="0.3">
      <c r="G1058"/>
      <c r="H1058"/>
      <c r="I1058"/>
    </row>
    <row r="1059" spans="7:9" x14ac:dyDescent="0.3">
      <c r="G1059"/>
      <c r="H1059"/>
      <c r="I1059"/>
    </row>
    <row r="1060" spans="7:9" x14ac:dyDescent="0.3">
      <c r="G1060"/>
      <c r="H1060"/>
      <c r="I1060"/>
    </row>
    <row r="1061" spans="7:9" x14ac:dyDescent="0.3">
      <c r="G1061"/>
      <c r="H1061"/>
      <c r="I1061"/>
    </row>
    <row r="1062" spans="7:9" x14ac:dyDescent="0.3">
      <c r="G1062"/>
      <c r="H1062"/>
      <c r="I1062"/>
    </row>
    <row r="1063" spans="7:9" x14ac:dyDescent="0.3">
      <c r="G1063"/>
      <c r="H1063"/>
      <c r="I1063"/>
    </row>
    <row r="1064" spans="7:9" x14ac:dyDescent="0.3">
      <c r="G1064"/>
      <c r="H1064"/>
      <c r="I1064"/>
    </row>
    <row r="1065" spans="7:9" x14ac:dyDescent="0.3">
      <c r="G1065"/>
      <c r="H1065"/>
      <c r="I1065"/>
    </row>
    <row r="1066" spans="7:9" x14ac:dyDescent="0.3">
      <c r="G1066"/>
      <c r="H1066"/>
      <c r="I1066"/>
    </row>
    <row r="1067" spans="7:9" x14ac:dyDescent="0.3">
      <c r="G1067"/>
      <c r="H1067"/>
      <c r="I1067"/>
    </row>
    <row r="1068" spans="7:9" x14ac:dyDescent="0.3">
      <c r="G1068"/>
      <c r="H1068"/>
      <c r="I1068"/>
    </row>
    <row r="1069" spans="7:9" x14ac:dyDescent="0.3">
      <c r="G1069"/>
      <c r="H1069"/>
      <c r="I1069"/>
    </row>
    <row r="1070" spans="7:9" x14ac:dyDescent="0.3">
      <c r="G1070"/>
      <c r="H1070"/>
      <c r="I1070"/>
    </row>
    <row r="1071" spans="7:9" x14ac:dyDescent="0.3">
      <c r="G1071"/>
      <c r="H1071"/>
      <c r="I1071"/>
    </row>
    <row r="1072" spans="7:9" x14ac:dyDescent="0.3">
      <c r="G1072"/>
      <c r="H1072"/>
      <c r="I1072"/>
    </row>
    <row r="1073" spans="7:9" x14ac:dyDescent="0.3">
      <c r="G1073"/>
      <c r="H1073"/>
      <c r="I1073"/>
    </row>
    <row r="1074" spans="7:9" x14ac:dyDescent="0.3">
      <c r="G1074"/>
      <c r="H1074"/>
      <c r="I1074"/>
    </row>
    <row r="1075" spans="7:9" x14ac:dyDescent="0.3">
      <c r="G1075"/>
      <c r="H1075"/>
      <c r="I1075"/>
    </row>
    <row r="1076" spans="7:9" x14ac:dyDescent="0.3">
      <c r="G1076"/>
      <c r="H1076"/>
      <c r="I1076"/>
    </row>
    <row r="1077" spans="7:9" x14ac:dyDescent="0.3">
      <c r="G1077"/>
      <c r="H1077"/>
      <c r="I1077"/>
    </row>
    <row r="1078" spans="7:9" x14ac:dyDescent="0.3">
      <c r="G1078"/>
      <c r="H1078"/>
      <c r="I1078"/>
    </row>
    <row r="1079" spans="7:9" x14ac:dyDescent="0.3">
      <c r="G1079"/>
      <c r="H1079"/>
      <c r="I1079"/>
    </row>
    <row r="1080" spans="7:9" x14ac:dyDescent="0.3">
      <c r="G1080"/>
      <c r="H1080"/>
      <c r="I1080"/>
    </row>
    <row r="1081" spans="7:9" x14ac:dyDescent="0.3">
      <c r="G1081"/>
      <c r="H1081"/>
      <c r="I1081"/>
    </row>
    <row r="1082" spans="7:9" x14ac:dyDescent="0.3">
      <c r="G1082"/>
      <c r="H1082"/>
      <c r="I1082"/>
    </row>
    <row r="1083" spans="7:9" x14ac:dyDescent="0.3">
      <c r="G1083"/>
      <c r="H1083"/>
      <c r="I1083"/>
    </row>
    <row r="1084" spans="7:9" x14ac:dyDescent="0.3">
      <c r="G1084"/>
      <c r="H1084"/>
      <c r="I1084"/>
    </row>
    <row r="1085" spans="7:9" x14ac:dyDescent="0.3">
      <c r="G1085"/>
      <c r="H1085"/>
      <c r="I1085"/>
    </row>
    <row r="1086" spans="7:9" x14ac:dyDescent="0.3">
      <c r="G1086"/>
      <c r="H1086"/>
      <c r="I1086"/>
    </row>
    <row r="1087" spans="7:9" x14ac:dyDescent="0.3">
      <c r="G1087"/>
      <c r="H1087"/>
      <c r="I1087"/>
    </row>
    <row r="1088" spans="7:9" x14ac:dyDescent="0.3">
      <c r="G1088"/>
      <c r="H1088"/>
      <c r="I1088"/>
    </row>
    <row r="1089" spans="7:9" x14ac:dyDescent="0.3">
      <c r="G1089"/>
      <c r="H1089"/>
      <c r="I1089"/>
    </row>
    <row r="1090" spans="7:9" x14ac:dyDescent="0.3">
      <c r="G1090"/>
      <c r="H1090"/>
      <c r="I1090"/>
    </row>
    <row r="1091" spans="7:9" x14ac:dyDescent="0.3">
      <c r="G1091"/>
      <c r="H1091"/>
      <c r="I1091"/>
    </row>
    <row r="1092" spans="7:9" x14ac:dyDescent="0.3">
      <c r="G1092"/>
      <c r="H1092"/>
      <c r="I1092"/>
    </row>
    <row r="1093" spans="7:9" x14ac:dyDescent="0.3">
      <c r="G1093"/>
      <c r="H1093"/>
      <c r="I1093"/>
    </row>
    <row r="1094" spans="7:9" x14ac:dyDescent="0.3">
      <c r="G1094"/>
      <c r="H1094"/>
      <c r="I1094"/>
    </row>
    <row r="1095" spans="7:9" x14ac:dyDescent="0.3">
      <c r="G1095"/>
      <c r="H1095"/>
      <c r="I1095"/>
    </row>
    <row r="1096" spans="7:9" x14ac:dyDescent="0.3">
      <c r="G1096"/>
      <c r="H1096"/>
      <c r="I1096"/>
    </row>
    <row r="1097" spans="7:9" x14ac:dyDescent="0.3">
      <c r="G1097"/>
      <c r="H1097"/>
      <c r="I1097"/>
    </row>
    <row r="1098" spans="7:9" x14ac:dyDescent="0.3">
      <c r="G1098"/>
      <c r="H1098"/>
      <c r="I1098"/>
    </row>
    <row r="1099" spans="7:9" x14ac:dyDescent="0.3">
      <c r="G1099"/>
      <c r="H1099"/>
      <c r="I1099"/>
    </row>
    <row r="1100" spans="7:9" x14ac:dyDescent="0.3">
      <c r="G1100"/>
      <c r="H1100"/>
      <c r="I1100"/>
    </row>
    <row r="1101" spans="7:9" x14ac:dyDescent="0.3">
      <c r="G1101"/>
      <c r="H1101"/>
      <c r="I1101"/>
    </row>
    <row r="1102" spans="7:9" x14ac:dyDescent="0.3">
      <c r="G1102"/>
      <c r="H1102"/>
      <c r="I1102"/>
    </row>
    <row r="1103" spans="7:9" x14ac:dyDescent="0.3">
      <c r="G1103"/>
      <c r="H1103"/>
      <c r="I1103"/>
    </row>
    <row r="1104" spans="7:9" x14ac:dyDescent="0.3">
      <c r="G1104"/>
      <c r="H1104"/>
      <c r="I1104"/>
    </row>
    <row r="1105" spans="7:9" x14ac:dyDescent="0.3">
      <c r="G1105"/>
      <c r="H1105"/>
      <c r="I1105"/>
    </row>
    <row r="1106" spans="7:9" x14ac:dyDescent="0.3">
      <c r="G1106"/>
      <c r="H1106"/>
      <c r="I1106"/>
    </row>
    <row r="1107" spans="7:9" x14ac:dyDescent="0.3">
      <c r="G1107"/>
      <c r="H1107"/>
      <c r="I1107"/>
    </row>
    <row r="1108" spans="7:9" x14ac:dyDescent="0.3">
      <c r="G1108"/>
      <c r="H1108"/>
      <c r="I1108"/>
    </row>
    <row r="1109" spans="7:9" x14ac:dyDescent="0.3">
      <c r="G1109"/>
      <c r="H1109"/>
      <c r="I1109"/>
    </row>
    <row r="1110" spans="7:9" x14ac:dyDescent="0.3">
      <c r="G1110"/>
      <c r="H1110"/>
      <c r="I1110"/>
    </row>
    <row r="1111" spans="7:9" x14ac:dyDescent="0.3">
      <c r="G1111"/>
      <c r="H1111"/>
      <c r="I1111"/>
    </row>
    <row r="1112" spans="7:9" x14ac:dyDescent="0.3">
      <c r="G1112"/>
      <c r="H1112"/>
      <c r="I1112"/>
    </row>
    <row r="1113" spans="7:9" x14ac:dyDescent="0.3">
      <c r="G1113"/>
      <c r="H1113"/>
      <c r="I1113"/>
    </row>
    <row r="1114" spans="7:9" x14ac:dyDescent="0.3">
      <c r="G1114"/>
      <c r="H1114"/>
      <c r="I1114"/>
    </row>
    <row r="1115" spans="7:9" x14ac:dyDescent="0.3">
      <c r="G1115"/>
      <c r="H1115"/>
      <c r="I1115"/>
    </row>
    <row r="1116" spans="7:9" x14ac:dyDescent="0.3">
      <c r="G1116"/>
      <c r="H1116"/>
      <c r="I1116"/>
    </row>
    <row r="1117" spans="7:9" x14ac:dyDescent="0.3">
      <c r="G1117"/>
      <c r="H1117"/>
      <c r="I1117"/>
    </row>
    <row r="1118" spans="7:9" x14ac:dyDescent="0.3">
      <c r="G1118"/>
      <c r="H1118"/>
      <c r="I1118"/>
    </row>
    <row r="1119" spans="7:9" x14ac:dyDescent="0.3">
      <c r="G1119"/>
      <c r="H1119"/>
      <c r="I1119"/>
    </row>
    <row r="1120" spans="7:9" x14ac:dyDescent="0.3">
      <c r="G1120"/>
      <c r="H1120"/>
      <c r="I1120"/>
    </row>
    <row r="1121" spans="7:9" x14ac:dyDescent="0.3">
      <c r="G1121"/>
      <c r="H1121"/>
      <c r="I1121"/>
    </row>
    <row r="1122" spans="7:9" x14ac:dyDescent="0.3">
      <c r="G1122"/>
      <c r="H1122"/>
      <c r="I1122"/>
    </row>
    <row r="1123" spans="7:9" x14ac:dyDescent="0.3">
      <c r="G1123"/>
      <c r="H1123"/>
      <c r="I1123"/>
    </row>
    <row r="1124" spans="7:9" x14ac:dyDescent="0.3">
      <c r="G1124"/>
      <c r="H1124"/>
      <c r="I1124"/>
    </row>
    <row r="1125" spans="7:9" x14ac:dyDescent="0.3">
      <c r="G1125"/>
      <c r="H1125"/>
      <c r="I1125"/>
    </row>
    <row r="1126" spans="7:9" x14ac:dyDescent="0.3">
      <c r="G1126"/>
      <c r="H1126"/>
      <c r="I1126"/>
    </row>
    <row r="1127" spans="7:9" x14ac:dyDescent="0.3">
      <c r="G1127"/>
      <c r="H1127"/>
      <c r="I1127"/>
    </row>
    <row r="1128" spans="7:9" x14ac:dyDescent="0.3">
      <c r="G1128"/>
      <c r="H1128"/>
      <c r="I1128"/>
    </row>
    <row r="1129" spans="7:9" x14ac:dyDescent="0.3">
      <c r="G1129"/>
      <c r="H1129"/>
      <c r="I1129"/>
    </row>
    <row r="1130" spans="7:9" x14ac:dyDescent="0.3">
      <c r="G1130"/>
      <c r="H1130"/>
      <c r="I1130"/>
    </row>
    <row r="1131" spans="7:9" x14ac:dyDescent="0.3">
      <c r="G1131"/>
      <c r="H1131"/>
      <c r="I1131"/>
    </row>
    <row r="1132" spans="7:9" x14ac:dyDescent="0.3">
      <c r="G1132"/>
      <c r="H1132"/>
      <c r="I1132"/>
    </row>
    <row r="1133" spans="7:9" x14ac:dyDescent="0.3">
      <c r="G1133"/>
      <c r="H1133"/>
      <c r="I1133"/>
    </row>
    <row r="1134" spans="7:9" x14ac:dyDescent="0.3">
      <c r="G1134"/>
      <c r="H1134"/>
      <c r="I1134"/>
    </row>
    <row r="1135" spans="7:9" x14ac:dyDescent="0.3">
      <c r="G1135"/>
      <c r="H1135"/>
      <c r="I1135"/>
    </row>
    <row r="1136" spans="7:9" x14ac:dyDescent="0.3">
      <c r="G1136"/>
      <c r="H1136"/>
      <c r="I1136"/>
    </row>
    <row r="1137" spans="7:9" x14ac:dyDescent="0.3">
      <c r="G1137"/>
      <c r="H1137"/>
      <c r="I1137"/>
    </row>
    <row r="1138" spans="7:9" x14ac:dyDescent="0.3">
      <c r="G1138"/>
      <c r="H1138"/>
      <c r="I1138"/>
    </row>
    <row r="1139" spans="7:9" x14ac:dyDescent="0.3">
      <c r="G1139"/>
      <c r="H1139"/>
      <c r="I1139"/>
    </row>
    <row r="1140" spans="7:9" x14ac:dyDescent="0.3">
      <c r="G1140"/>
      <c r="H1140"/>
      <c r="I1140"/>
    </row>
    <row r="1141" spans="7:9" x14ac:dyDescent="0.3">
      <c r="G1141"/>
      <c r="H1141"/>
      <c r="I1141"/>
    </row>
    <row r="1142" spans="7:9" x14ac:dyDescent="0.3">
      <c r="G1142"/>
      <c r="H1142"/>
      <c r="I1142"/>
    </row>
    <row r="1143" spans="7:9" x14ac:dyDescent="0.3">
      <c r="G1143"/>
      <c r="H1143"/>
      <c r="I1143"/>
    </row>
    <row r="1144" spans="7:9" x14ac:dyDescent="0.3">
      <c r="G1144"/>
      <c r="H1144"/>
      <c r="I1144"/>
    </row>
    <row r="1145" spans="7:9" x14ac:dyDescent="0.3">
      <c r="G1145"/>
      <c r="H1145"/>
      <c r="I1145"/>
    </row>
    <row r="1146" spans="7:9" x14ac:dyDescent="0.3">
      <c r="G1146"/>
      <c r="H1146"/>
      <c r="I1146"/>
    </row>
    <row r="1147" spans="7:9" x14ac:dyDescent="0.3">
      <c r="G1147"/>
      <c r="H1147"/>
      <c r="I1147"/>
    </row>
    <row r="1148" spans="7:9" x14ac:dyDescent="0.3">
      <c r="G1148"/>
      <c r="H1148"/>
      <c r="I1148"/>
    </row>
    <row r="1149" spans="7:9" x14ac:dyDescent="0.3">
      <c r="G1149"/>
      <c r="H1149"/>
      <c r="I1149"/>
    </row>
    <row r="1150" spans="7:9" x14ac:dyDescent="0.3">
      <c r="G1150"/>
      <c r="H1150"/>
      <c r="I1150"/>
    </row>
    <row r="1151" spans="7:9" x14ac:dyDescent="0.3">
      <c r="G1151"/>
      <c r="H1151"/>
      <c r="I1151"/>
    </row>
    <row r="1152" spans="7:9" x14ac:dyDescent="0.3">
      <c r="G1152"/>
      <c r="H1152"/>
      <c r="I1152"/>
    </row>
    <row r="1153" spans="7:9" x14ac:dyDescent="0.3">
      <c r="G1153"/>
      <c r="H1153"/>
      <c r="I1153"/>
    </row>
    <row r="1154" spans="7:9" x14ac:dyDescent="0.3">
      <c r="G1154"/>
      <c r="H1154"/>
      <c r="I1154"/>
    </row>
    <row r="1155" spans="7:9" x14ac:dyDescent="0.3">
      <c r="G1155"/>
      <c r="H1155"/>
      <c r="I1155"/>
    </row>
    <row r="1156" spans="7:9" x14ac:dyDescent="0.3">
      <c r="G1156"/>
      <c r="H1156"/>
      <c r="I1156"/>
    </row>
    <row r="1157" spans="7:9" x14ac:dyDescent="0.3">
      <c r="G1157"/>
      <c r="H1157"/>
      <c r="I1157"/>
    </row>
    <row r="1158" spans="7:9" x14ac:dyDescent="0.3">
      <c r="G1158"/>
      <c r="H1158"/>
      <c r="I1158"/>
    </row>
    <row r="1159" spans="7:9" x14ac:dyDescent="0.3">
      <c r="G1159"/>
      <c r="H1159"/>
      <c r="I1159"/>
    </row>
    <row r="1160" spans="7:9" x14ac:dyDescent="0.3">
      <c r="G1160"/>
      <c r="H1160"/>
      <c r="I1160"/>
    </row>
    <row r="1161" spans="7:9" x14ac:dyDescent="0.3">
      <c r="G1161"/>
      <c r="H1161"/>
      <c r="I1161"/>
    </row>
    <row r="1162" spans="7:9" x14ac:dyDescent="0.3">
      <c r="G1162"/>
      <c r="H1162"/>
      <c r="I1162"/>
    </row>
    <row r="1163" spans="7:9" x14ac:dyDescent="0.3">
      <c r="G1163"/>
      <c r="H1163"/>
      <c r="I1163"/>
    </row>
    <row r="1164" spans="7:9" x14ac:dyDescent="0.3">
      <c r="G1164"/>
      <c r="H1164"/>
      <c r="I1164"/>
    </row>
    <row r="1165" spans="7:9" x14ac:dyDescent="0.3">
      <c r="G1165"/>
      <c r="H1165"/>
      <c r="I1165"/>
    </row>
    <row r="1166" spans="7:9" x14ac:dyDescent="0.3">
      <c r="G1166"/>
      <c r="H1166"/>
      <c r="I1166"/>
    </row>
    <row r="1167" spans="7:9" x14ac:dyDescent="0.3">
      <c r="G1167"/>
      <c r="H1167"/>
      <c r="I1167"/>
    </row>
    <row r="1168" spans="7:9" x14ac:dyDescent="0.3">
      <c r="G1168"/>
      <c r="H1168"/>
      <c r="I1168"/>
    </row>
    <row r="1169" spans="7:9" x14ac:dyDescent="0.3">
      <c r="G1169"/>
      <c r="H1169"/>
      <c r="I1169"/>
    </row>
    <row r="1170" spans="7:9" x14ac:dyDescent="0.3">
      <c r="G1170"/>
      <c r="H1170"/>
      <c r="I1170"/>
    </row>
    <row r="1171" spans="7:9" x14ac:dyDescent="0.3">
      <c r="G1171"/>
      <c r="H1171"/>
      <c r="I1171"/>
    </row>
    <row r="1172" spans="7:9" x14ac:dyDescent="0.3">
      <c r="G1172"/>
      <c r="H1172"/>
      <c r="I1172"/>
    </row>
    <row r="1173" spans="7:9" x14ac:dyDescent="0.3">
      <c r="G1173"/>
      <c r="H1173"/>
      <c r="I1173"/>
    </row>
    <row r="1174" spans="7:9" x14ac:dyDescent="0.3">
      <c r="G1174"/>
      <c r="H1174"/>
      <c r="I1174"/>
    </row>
    <row r="1175" spans="7:9" x14ac:dyDescent="0.3">
      <c r="G1175"/>
      <c r="H1175"/>
      <c r="I1175"/>
    </row>
    <row r="1176" spans="7:9" x14ac:dyDescent="0.3">
      <c r="G1176"/>
      <c r="H1176"/>
      <c r="I1176"/>
    </row>
    <row r="1177" spans="7:9" x14ac:dyDescent="0.3">
      <c r="G1177"/>
      <c r="H1177"/>
      <c r="I1177"/>
    </row>
    <row r="1178" spans="7:9" x14ac:dyDescent="0.3">
      <c r="G1178"/>
      <c r="H1178"/>
      <c r="I1178"/>
    </row>
    <row r="1179" spans="7:9" x14ac:dyDescent="0.3">
      <c r="G1179"/>
      <c r="H1179"/>
      <c r="I1179"/>
    </row>
    <row r="1180" spans="7:9" x14ac:dyDescent="0.3">
      <c r="G1180"/>
      <c r="H1180"/>
      <c r="I1180"/>
    </row>
    <row r="1181" spans="7:9" x14ac:dyDescent="0.3">
      <c r="G1181"/>
      <c r="H1181"/>
      <c r="I1181"/>
    </row>
    <row r="1182" spans="7:9" x14ac:dyDescent="0.3">
      <c r="G1182"/>
      <c r="H1182"/>
      <c r="I1182"/>
    </row>
    <row r="1183" spans="7:9" x14ac:dyDescent="0.3">
      <c r="G1183"/>
      <c r="H1183"/>
      <c r="I1183"/>
    </row>
    <row r="1184" spans="7:9" x14ac:dyDescent="0.3">
      <c r="G1184"/>
      <c r="H1184"/>
      <c r="I1184"/>
    </row>
    <row r="1185" spans="7:9" x14ac:dyDescent="0.3">
      <c r="G1185"/>
      <c r="H1185"/>
      <c r="I1185"/>
    </row>
    <row r="1186" spans="7:9" x14ac:dyDescent="0.3">
      <c r="G1186"/>
      <c r="H1186"/>
      <c r="I1186"/>
    </row>
    <row r="1187" spans="7:9" x14ac:dyDescent="0.3">
      <c r="G1187"/>
      <c r="H1187"/>
      <c r="I1187"/>
    </row>
    <row r="1188" spans="7:9" x14ac:dyDescent="0.3">
      <c r="G1188"/>
      <c r="H1188"/>
      <c r="I1188"/>
    </row>
    <row r="1189" spans="7:9" x14ac:dyDescent="0.3">
      <c r="G1189"/>
      <c r="H1189"/>
      <c r="I1189"/>
    </row>
    <row r="1190" spans="7:9" x14ac:dyDescent="0.3">
      <c r="G1190"/>
      <c r="H1190"/>
      <c r="I1190"/>
    </row>
    <row r="1191" spans="7:9" x14ac:dyDescent="0.3">
      <c r="G1191"/>
      <c r="H1191"/>
      <c r="I1191"/>
    </row>
    <row r="1192" spans="7:9" x14ac:dyDescent="0.3">
      <c r="G1192"/>
      <c r="H1192"/>
      <c r="I1192"/>
    </row>
    <row r="1193" spans="7:9" x14ac:dyDescent="0.3">
      <c r="G1193"/>
      <c r="H1193"/>
      <c r="I1193"/>
    </row>
    <row r="1194" spans="7:9" x14ac:dyDescent="0.3">
      <c r="G1194"/>
      <c r="H1194"/>
      <c r="I1194"/>
    </row>
    <row r="1195" spans="7:9" x14ac:dyDescent="0.3">
      <c r="G1195"/>
      <c r="H1195"/>
      <c r="I1195"/>
    </row>
    <row r="1196" spans="7:9" x14ac:dyDescent="0.3">
      <c r="G1196"/>
      <c r="H1196"/>
      <c r="I1196"/>
    </row>
    <row r="1197" spans="7:9" x14ac:dyDescent="0.3">
      <c r="G1197"/>
      <c r="H1197"/>
      <c r="I1197"/>
    </row>
    <row r="1198" spans="7:9" x14ac:dyDescent="0.3">
      <c r="G1198"/>
      <c r="H1198"/>
      <c r="I1198"/>
    </row>
    <row r="1199" spans="7:9" x14ac:dyDescent="0.3">
      <c r="G1199"/>
      <c r="H1199"/>
      <c r="I1199"/>
    </row>
    <row r="1200" spans="7:9" x14ac:dyDescent="0.3">
      <c r="G1200"/>
      <c r="H1200"/>
      <c r="I1200"/>
    </row>
    <row r="1201" spans="7:9" x14ac:dyDescent="0.3">
      <c r="G1201"/>
      <c r="H1201"/>
      <c r="I1201"/>
    </row>
    <row r="1202" spans="7:9" x14ac:dyDescent="0.3">
      <c r="G1202"/>
      <c r="H1202"/>
      <c r="I1202"/>
    </row>
    <row r="1203" spans="7:9" x14ac:dyDescent="0.3">
      <c r="G1203"/>
      <c r="H1203"/>
      <c r="I1203"/>
    </row>
    <row r="1204" spans="7:9" x14ac:dyDescent="0.3">
      <c r="G1204"/>
      <c r="H1204"/>
      <c r="I1204"/>
    </row>
    <row r="1205" spans="7:9" x14ac:dyDescent="0.3">
      <c r="G1205"/>
      <c r="H1205"/>
      <c r="I1205"/>
    </row>
    <row r="1206" spans="7:9" x14ac:dyDescent="0.3">
      <c r="G1206"/>
      <c r="H1206"/>
      <c r="I1206"/>
    </row>
    <row r="1207" spans="7:9" x14ac:dyDescent="0.3">
      <c r="G1207"/>
      <c r="H1207"/>
      <c r="I1207"/>
    </row>
    <row r="1208" spans="7:9" x14ac:dyDescent="0.3">
      <c r="G1208"/>
      <c r="H1208"/>
      <c r="I1208"/>
    </row>
    <row r="1209" spans="7:9" x14ac:dyDescent="0.3">
      <c r="G1209"/>
      <c r="H1209"/>
      <c r="I1209"/>
    </row>
    <row r="1210" spans="7:9" x14ac:dyDescent="0.3">
      <c r="G1210"/>
      <c r="H1210"/>
      <c r="I1210"/>
    </row>
    <row r="1211" spans="7:9" x14ac:dyDescent="0.3">
      <c r="G1211"/>
      <c r="H1211"/>
      <c r="I1211"/>
    </row>
    <row r="1212" spans="7:9" x14ac:dyDescent="0.3">
      <c r="G1212"/>
      <c r="H1212"/>
      <c r="I1212"/>
    </row>
    <row r="1213" spans="7:9" x14ac:dyDescent="0.3">
      <c r="G1213"/>
      <c r="H1213"/>
      <c r="I1213"/>
    </row>
    <row r="1214" spans="7:9" x14ac:dyDescent="0.3">
      <c r="G1214"/>
      <c r="H1214"/>
      <c r="I1214"/>
    </row>
    <row r="1215" spans="7:9" x14ac:dyDescent="0.3">
      <c r="G1215"/>
      <c r="H1215"/>
      <c r="I1215"/>
    </row>
    <row r="1216" spans="7:9" x14ac:dyDescent="0.3">
      <c r="G1216"/>
      <c r="H1216"/>
      <c r="I1216"/>
    </row>
    <row r="1217" spans="7:9" x14ac:dyDescent="0.3">
      <c r="G1217"/>
      <c r="H1217"/>
      <c r="I1217"/>
    </row>
    <row r="1218" spans="7:9" x14ac:dyDescent="0.3">
      <c r="G1218"/>
      <c r="H1218"/>
      <c r="I1218"/>
    </row>
    <row r="1219" spans="7:9" x14ac:dyDescent="0.3">
      <c r="G1219"/>
      <c r="H1219"/>
      <c r="I1219"/>
    </row>
    <row r="1220" spans="7:9" x14ac:dyDescent="0.3">
      <c r="G1220"/>
      <c r="H1220"/>
      <c r="I1220"/>
    </row>
    <row r="1221" spans="7:9" x14ac:dyDescent="0.3">
      <c r="G1221"/>
      <c r="H1221"/>
      <c r="I1221"/>
    </row>
    <row r="1222" spans="7:9" x14ac:dyDescent="0.3">
      <c r="G1222"/>
      <c r="H1222"/>
      <c r="I1222"/>
    </row>
    <row r="1223" spans="7:9" x14ac:dyDescent="0.3">
      <c r="G1223"/>
      <c r="H1223"/>
      <c r="I1223"/>
    </row>
    <row r="1224" spans="7:9" x14ac:dyDescent="0.3">
      <c r="G1224"/>
      <c r="H1224"/>
      <c r="I1224"/>
    </row>
    <row r="1225" spans="7:9" x14ac:dyDescent="0.3">
      <c r="G1225"/>
      <c r="H1225"/>
      <c r="I1225"/>
    </row>
    <row r="1226" spans="7:9" x14ac:dyDescent="0.3">
      <c r="G1226"/>
      <c r="H1226"/>
      <c r="I1226"/>
    </row>
    <row r="1227" spans="7:9" x14ac:dyDescent="0.3">
      <c r="G1227"/>
      <c r="H1227"/>
      <c r="I1227"/>
    </row>
    <row r="1228" spans="7:9" x14ac:dyDescent="0.3">
      <c r="G1228"/>
      <c r="H1228"/>
      <c r="I1228"/>
    </row>
    <row r="1229" spans="7:9" x14ac:dyDescent="0.3">
      <c r="G1229"/>
      <c r="H1229"/>
      <c r="I1229"/>
    </row>
    <row r="1230" spans="7:9" x14ac:dyDescent="0.3">
      <c r="G1230"/>
      <c r="H1230"/>
      <c r="I1230"/>
    </row>
    <row r="1231" spans="7:9" x14ac:dyDescent="0.3">
      <c r="G1231"/>
      <c r="H1231"/>
      <c r="I1231"/>
    </row>
    <row r="1232" spans="7:9" x14ac:dyDescent="0.3">
      <c r="G1232"/>
      <c r="H1232"/>
      <c r="I1232"/>
    </row>
    <row r="1233" spans="7:9" x14ac:dyDescent="0.3">
      <c r="G1233"/>
      <c r="H1233"/>
      <c r="I1233"/>
    </row>
    <row r="1234" spans="7:9" x14ac:dyDescent="0.3">
      <c r="G1234"/>
      <c r="H1234"/>
      <c r="I1234"/>
    </row>
    <row r="1235" spans="7:9" x14ac:dyDescent="0.3">
      <c r="G1235"/>
      <c r="H1235"/>
      <c r="I1235"/>
    </row>
    <row r="1236" spans="7:9" x14ac:dyDescent="0.3">
      <c r="G1236"/>
      <c r="H1236"/>
      <c r="I1236"/>
    </row>
    <row r="1237" spans="7:9" x14ac:dyDescent="0.3">
      <c r="G1237"/>
      <c r="H1237"/>
      <c r="I1237"/>
    </row>
    <row r="1238" spans="7:9" x14ac:dyDescent="0.3">
      <c r="G1238"/>
      <c r="H1238"/>
      <c r="I1238"/>
    </row>
    <row r="1239" spans="7:9" x14ac:dyDescent="0.3">
      <c r="G1239"/>
      <c r="H1239"/>
      <c r="I1239"/>
    </row>
    <row r="1240" spans="7:9" x14ac:dyDescent="0.3">
      <c r="G1240"/>
      <c r="H1240"/>
      <c r="I1240"/>
    </row>
    <row r="1241" spans="7:9" x14ac:dyDescent="0.3">
      <c r="G1241"/>
      <c r="H1241"/>
      <c r="I1241"/>
    </row>
    <row r="1242" spans="7:9" x14ac:dyDescent="0.3">
      <c r="G1242"/>
      <c r="H1242"/>
      <c r="I1242"/>
    </row>
    <row r="1243" spans="7:9" x14ac:dyDescent="0.3">
      <c r="G1243"/>
      <c r="H1243"/>
      <c r="I1243"/>
    </row>
    <row r="1244" spans="7:9" x14ac:dyDescent="0.3">
      <c r="G1244"/>
      <c r="H1244"/>
      <c r="I1244"/>
    </row>
    <row r="1245" spans="7:9" x14ac:dyDescent="0.3">
      <c r="G1245"/>
      <c r="H1245"/>
      <c r="I1245"/>
    </row>
    <row r="1246" spans="7:9" x14ac:dyDescent="0.3">
      <c r="G1246"/>
      <c r="H1246"/>
      <c r="I1246"/>
    </row>
    <row r="1247" spans="7:9" x14ac:dyDescent="0.3">
      <c r="G1247"/>
      <c r="H1247"/>
      <c r="I1247"/>
    </row>
    <row r="1248" spans="7:9" x14ac:dyDescent="0.3">
      <c r="G1248"/>
      <c r="H1248"/>
      <c r="I1248"/>
    </row>
    <row r="1249" spans="7:9" x14ac:dyDescent="0.3">
      <c r="G1249"/>
      <c r="H1249"/>
      <c r="I1249"/>
    </row>
    <row r="1250" spans="7:9" x14ac:dyDescent="0.3">
      <c r="G1250"/>
      <c r="H1250"/>
      <c r="I1250"/>
    </row>
    <row r="1251" spans="7:9" x14ac:dyDescent="0.3">
      <c r="G1251"/>
      <c r="H1251"/>
      <c r="I1251"/>
    </row>
    <row r="1252" spans="7:9" x14ac:dyDescent="0.3">
      <c r="G1252"/>
      <c r="H1252"/>
      <c r="I1252"/>
    </row>
    <row r="1253" spans="7:9" x14ac:dyDescent="0.3">
      <c r="G1253"/>
      <c r="H1253"/>
      <c r="I1253"/>
    </row>
    <row r="1254" spans="7:9" x14ac:dyDescent="0.3">
      <c r="G1254"/>
      <c r="H1254"/>
      <c r="I1254"/>
    </row>
    <row r="1255" spans="7:9" x14ac:dyDescent="0.3">
      <c r="G1255"/>
      <c r="H1255"/>
      <c r="I1255"/>
    </row>
    <row r="1256" spans="7:9" x14ac:dyDescent="0.3">
      <c r="G1256"/>
      <c r="H1256"/>
      <c r="I1256"/>
    </row>
    <row r="1257" spans="7:9" x14ac:dyDescent="0.3">
      <c r="G1257"/>
      <c r="H1257"/>
      <c r="I1257"/>
    </row>
    <row r="1258" spans="7:9" x14ac:dyDescent="0.3">
      <c r="G1258"/>
      <c r="H1258"/>
      <c r="I1258"/>
    </row>
    <row r="1259" spans="7:9" x14ac:dyDescent="0.3">
      <c r="G1259"/>
      <c r="H1259"/>
      <c r="I1259"/>
    </row>
    <row r="1260" spans="7:9" x14ac:dyDescent="0.3">
      <c r="G1260"/>
      <c r="H1260"/>
      <c r="I1260"/>
    </row>
    <row r="1261" spans="7:9" x14ac:dyDescent="0.3">
      <c r="G1261"/>
      <c r="H1261"/>
      <c r="I1261"/>
    </row>
    <row r="1262" spans="7:9" x14ac:dyDescent="0.3">
      <c r="G1262"/>
      <c r="H1262"/>
      <c r="I1262"/>
    </row>
    <row r="1263" spans="7:9" x14ac:dyDescent="0.3">
      <c r="G1263"/>
      <c r="H1263"/>
      <c r="I1263"/>
    </row>
    <row r="1264" spans="7:9" x14ac:dyDescent="0.3">
      <c r="G1264"/>
      <c r="H1264"/>
      <c r="I1264"/>
    </row>
    <row r="1265" spans="7:9" x14ac:dyDescent="0.3">
      <c r="G1265"/>
      <c r="H1265"/>
      <c r="I1265"/>
    </row>
    <row r="1266" spans="7:9" x14ac:dyDescent="0.3">
      <c r="G1266"/>
      <c r="H1266"/>
      <c r="I1266"/>
    </row>
    <row r="1267" spans="7:9" x14ac:dyDescent="0.3">
      <c r="G1267"/>
      <c r="H1267"/>
      <c r="I1267"/>
    </row>
    <row r="1268" spans="7:9" x14ac:dyDescent="0.3">
      <c r="G1268"/>
      <c r="H1268"/>
      <c r="I1268"/>
    </row>
    <row r="1269" spans="7:9" x14ac:dyDescent="0.3">
      <c r="G1269"/>
      <c r="H1269"/>
      <c r="I1269"/>
    </row>
    <row r="1270" spans="7:9" x14ac:dyDescent="0.3">
      <c r="G1270"/>
      <c r="H1270"/>
      <c r="I1270"/>
    </row>
    <row r="1271" spans="7:9" x14ac:dyDescent="0.3">
      <c r="G1271"/>
      <c r="H1271"/>
      <c r="I1271"/>
    </row>
    <row r="1272" spans="7:9" x14ac:dyDescent="0.3">
      <c r="G1272"/>
      <c r="H1272"/>
      <c r="I1272"/>
    </row>
    <row r="1273" spans="7:9" x14ac:dyDescent="0.3">
      <c r="G1273"/>
      <c r="H1273"/>
      <c r="I1273"/>
    </row>
    <row r="1274" spans="7:9" x14ac:dyDescent="0.3">
      <c r="G1274"/>
      <c r="H1274"/>
      <c r="I1274"/>
    </row>
    <row r="1275" spans="7:9" x14ac:dyDescent="0.3">
      <c r="G1275"/>
      <c r="H1275"/>
      <c r="I1275"/>
    </row>
    <row r="1276" spans="7:9" x14ac:dyDescent="0.3">
      <c r="G1276"/>
      <c r="H1276"/>
      <c r="I1276"/>
    </row>
    <row r="1277" spans="7:9" x14ac:dyDescent="0.3">
      <c r="G1277"/>
      <c r="H1277"/>
      <c r="I1277"/>
    </row>
    <row r="1278" spans="7:9" x14ac:dyDescent="0.3">
      <c r="G1278"/>
      <c r="H1278"/>
      <c r="I1278"/>
    </row>
    <row r="1279" spans="7:9" x14ac:dyDescent="0.3">
      <c r="G1279"/>
      <c r="H1279"/>
      <c r="I1279"/>
    </row>
    <row r="1280" spans="7:9" x14ac:dyDescent="0.3">
      <c r="G1280"/>
      <c r="H1280"/>
      <c r="I1280"/>
    </row>
    <row r="1281" spans="7:9" x14ac:dyDescent="0.3">
      <c r="G1281"/>
      <c r="H1281"/>
      <c r="I1281"/>
    </row>
    <row r="1282" spans="7:9" x14ac:dyDescent="0.3">
      <c r="G1282"/>
      <c r="H1282"/>
      <c r="I1282"/>
    </row>
    <row r="1283" spans="7:9" x14ac:dyDescent="0.3">
      <c r="G1283"/>
      <c r="H1283"/>
      <c r="I1283"/>
    </row>
    <row r="1284" spans="7:9" x14ac:dyDescent="0.3">
      <c r="G1284"/>
      <c r="H1284"/>
      <c r="I1284"/>
    </row>
    <row r="1285" spans="7:9" x14ac:dyDescent="0.3">
      <c r="G1285"/>
      <c r="H1285"/>
      <c r="I1285"/>
    </row>
    <row r="1286" spans="7:9" x14ac:dyDescent="0.3">
      <c r="G1286"/>
      <c r="H1286"/>
      <c r="I1286"/>
    </row>
    <row r="1287" spans="7:9" x14ac:dyDescent="0.3">
      <c r="G1287"/>
      <c r="H1287"/>
      <c r="I1287"/>
    </row>
    <row r="1288" spans="7:9" x14ac:dyDescent="0.3">
      <c r="G1288"/>
      <c r="H1288"/>
      <c r="I1288"/>
    </row>
    <row r="1289" spans="7:9" x14ac:dyDescent="0.3">
      <c r="G1289"/>
      <c r="H1289"/>
      <c r="I1289"/>
    </row>
    <row r="1290" spans="7:9" x14ac:dyDescent="0.3">
      <c r="G1290"/>
      <c r="H1290"/>
      <c r="I1290"/>
    </row>
    <row r="1291" spans="7:9" x14ac:dyDescent="0.3">
      <c r="G1291"/>
      <c r="H1291"/>
      <c r="I1291"/>
    </row>
    <row r="1292" spans="7:9" x14ac:dyDescent="0.3">
      <c r="G1292"/>
      <c r="H1292"/>
      <c r="I1292"/>
    </row>
    <row r="1293" spans="7:9" x14ac:dyDescent="0.3">
      <c r="G1293"/>
      <c r="H1293"/>
      <c r="I1293"/>
    </row>
    <row r="1294" spans="7:9" x14ac:dyDescent="0.3">
      <c r="G1294"/>
      <c r="H1294"/>
      <c r="I1294"/>
    </row>
    <row r="1295" spans="7:9" x14ac:dyDescent="0.3">
      <c r="G1295"/>
      <c r="H1295"/>
      <c r="I1295"/>
    </row>
    <row r="1296" spans="7:9" x14ac:dyDescent="0.3">
      <c r="G1296"/>
      <c r="H1296"/>
      <c r="I1296"/>
    </row>
    <row r="1297" spans="7:9" x14ac:dyDescent="0.3">
      <c r="G1297"/>
      <c r="H1297"/>
      <c r="I1297"/>
    </row>
    <row r="1298" spans="7:9" x14ac:dyDescent="0.3">
      <c r="G1298"/>
      <c r="H1298"/>
      <c r="I1298"/>
    </row>
    <row r="1299" spans="7:9" x14ac:dyDescent="0.3">
      <c r="G1299"/>
      <c r="H1299"/>
      <c r="I1299"/>
    </row>
    <row r="1300" spans="7:9" x14ac:dyDescent="0.3">
      <c r="G1300"/>
      <c r="H1300"/>
      <c r="I1300"/>
    </row>
    <row r="1301" spans="7:9" x14ac:dyDescent="0.3">
      <c r="G1301"/>
      <c r="H1301"/>
      <c r="I1301"/>
    </row>
    <row r="1302" spans="7:9" x14ac:dyDescent="0.3">
      <c r="G1302"/>
      <c r="H1302"/>
      <c r="I1302"/>
    </row>
    <row r="1303" spans="7:9" x14ac:dyDescent="0.3">
      <c r="G1303"/>
      <c r="H1303"/>
      <c r="I1303"/>
    </row>
    <row r="1304" spans="7:9" x14ac:dyDescent="0.3">
      <c r="G1304"/>
      <c r="H1304"/>
      <c r="I1304"/>
    </row>
    <row r="1305" spans="7:9" x14ac:dyDescent="0.3">
      <c r="G1305"/>
      <c r="H1305"/>
      <c r="I1305"/>
    </row>
    <row r="1306" spans="7:9" x14ac:dyDescent="0.3">
      <c r="G1306"/>
      <c r="H1306"/>
      <c r="I1306"/>
    </row>
    <row r="1307" spans="7:9" x14ac:dyDescent="0.3">
      <c r="G1307"/>
      <c r="H1307"/>
      <c r="I1307"/>
    </row>
    <row r="1308" spans="7:9" x14ac:dyDescent="0.3">
      <c r="G1308"/>
      <c r="H1308"/>
      <c r="I1308"/>
    </row>
    <row r="1309" spans="7:9" x14ac:dyDescent="0.3">
      <c r="G1309"/>
      <c r="H1309"/>
      <c r="I1309"/>
    </row>
    <row r="1310" spans="7:9" x14ac:dyDescent="0.3">
      <c r="G1310"/>
      <c r="H1310"/>
      <c r="I1310"/>
    </row>
    <row r="1311" spans="7:9" x14ac:dyDescent="0.3">
      <c r="G1311"/>
      <c r="H1311"/>
      <c r="I1311"/>
    </row>
    <row r="1312" spans="7:9" x14ac:dyDescent="0.3">
      <c r="G1312"/>
      <c r="H1312"/>
      <c r="I1312"/>
    </row>
    <row r="1313" spans="7:9" x14ac:dyDescent="0.3">
      <c r="G1313"/>
      <c r="H1313"/>
      <c r="I1313"/>
    </row>
    <row r="1314" spans="7:9" x14ac:dyDescent="0.3">
      <c r="G1314"/>
      <c r="H1314"/>
      <c r="I1314"/>
    </row>
    <row r="1315" spans="7:9" x14ac:dyDescent="0.3">
      <c r="G1315"/>
      <c r="H1315"/>
      <c r="I1315"/>
    </row>
    <row r="1316" spans="7:9" x14ac:dyDescent="0.3">
      <c r="G1316"/>
      <c r="H1316"/>
      <c r="I1316"/>
    </row>
    <row r="1317" spans="7:9" x14ac:dyDescent="0.3">
      <c r="G1317"/>
      <c r="H1317"/>
      <c r="I1317"/>
    </row>
    <row r="1318" spans="7:9" x14ac:dyDescent="0.3">
      <c r="G1318"/>
      <c r="H1318"/>
      <c r="I1318"/>
    </row>
    <row r="1319" spans="7:9" x14ac:dyDescent="0.3">
      <c r="G1319"/>
      <c r="H1319"/>
      <c r="I1319"/>
    </row>
    <row r="1320" spans="7:9" x14ac:dyDescent="0.3">
      <c r="G1320"/>
      <c r="H1320"/>
      <c r="I1320"/>
    </row>
    <row r="1321" spans="7:9" x14ac:dyDescent="0.3">
      <c r="G1321"/>
      <c r="H1321"/>
      <c r="I1321"/>
    </row>
    <row r="1322" spans="7:9" x14ac:dyDescent="0.3">
      <c r="G1322"/>
      <c r="H1322"/>
      <c r="I1322"/>
    </row>
    <row r="1323" spans="7:9" x14ac:dyDescent="0.3">
      <c r="G1323"/>
      <c r="H1323"/>
      <c r="I1323"/>
    </row>
    <row r="1324" spans="7:9" x14ac:dyDescent="0.3">
      <c r="G1324"/>
      <c r="H1324"/>
      <c r="I1324"/>
    </row>
    <row r="1325" spans="7:9" x14ac:dyDescent="0.3">
      <c r="G1325"/>
      <c r="H1325"/>
      <c r="I1325"/>
    </row>
    <row r="1326" spans="7:9" x14ac:dyDescent="0.3">
      <c r="G1326"/>
      <c r="H1326"/>
      <c r="I1326"/>
    </row>
    <row r="1327" spans="7:9" x14ac:dyDescent="0.3">
      <c r="G1327"/>
      <c r="H1327"/>
      <c r="I1327"/>
    </row>
    <row r="1328" spans="7:9" x14ac:dyDescent="0.3">
      <c r="G1328"/>
      <c r="H1328"/>
      <c r="I1328"/>
    </row>
    <row r="1329" spans="7:9" x14ac:dyDescent="0.3">
      <c r="G1329"/>
      <c r="H1329"/>
      <c r="I1329"/>
    </row>
    <row r="1330" spans="7:9" x14ac:dyDescent="0.3">
      <c r="G1330"/>
      <c r="H1330"/>
      <c r="I1330"/>
    </row>
    <row r="1331" spans="7:9" x14ac:dyDescent="0.3">
      <c r="G1331"/>
      <c r="H1331"/>
      <c r="I1331"/>
    </row>
    <row r="1332" spans="7:9" x14ac:dyDescent="0.3">
      <c r="G1332"/>
      <c r="H1332"/>
      <c r="I1332"/>
    </row>
    <row r="1333" spans="7:9" x14ac:dyDescent="0.3">
      <c r="G1333"/>
      <c r="H1333"/>
      <c r="I1333"/>
    </row>
    <row r="1334" spans="7:9" x14ac:dyDescent="0.3">
      <c r="G1334"/>
      <c r="H1334"/>
      <c r="I1334"/>
    </row>
    <row r="1335" spans="7:9" x14ac:dyDescent="0.3">
      <c r="G1335"/>
      <c r="H1335"/>
      <c r="I1335"/>
    </row>
    <row r="1336" spans="7:9" x14ac:dyDescent="0.3">
      <c r="G1336"/>
      <c r="H1336"/>
      <c r="I1336"/>
    </row>
    <row r="1337" spans="7:9" x14ac:dyDescent="0.3">
      <c r="G1337"/>
      <c r="H1337"/>
      <c r="I1337"/>
    </row>
    <row r="1338" spans="7:9" x14ac:dyDescent="0.3">
      <c r="G1338"/>
      <c r="H1338"/>
      <c r="I1338"/>
    </row>
    <row r="1339" spans="7:9" x14ac:dyDescent="0.3">
      <c r="G1339"/>
      <c r="H1339"/>
      <c r="I1339"/>
    </row>
    <row r="1340" spans="7:9" x14ac:dyDescent="0.3">
      <c r="G1340"/>
      <c r="H1340"/>
      <c r="I1340"/>
    </row>
    <row r="1341" spans="7:9" x14ac:dyDescent="0.3">
      <c r="G1341"/>
      <c r="H1341"/>
      <c r="I1341"/>
    </row>
    <row r="1342" spans="7:9" x14ac:dyDescent="0.3">
      <c r="G1342"/>
      <c r="H1342"/>
      <c r="I1342"/>
    </row>
    <row r="1343" spans="7:9" x14ac:dyDescent="0.3">
      <c r="G1343"/>
      <c r="H1343"/>
      <c r="I1343"/>
    </row>
    <row r="1344" spans="7:9" x14ac:dyDescent="0.3">
      <c r="G1344"/>
      <c r="H1344"/>
      <c r="I1344"/>
    </row>
    <row r="1345" spans="7:9" x14ac:dyDescent="0.3">
      <c r="G1345"/>
      <c r="H1345"/>
      <c r="I1345"/>
    </row>
    <row r="1346" spans="7:9" x14ac:dyDescent="0.3">
      <c r="G1346"/>
      <c r="H1346"/>
      <c r="I1346"/>
    </row>
    <row r="1347" spans="7:9" x14ac:dyDescent="0.3">
      <c r="G1347"/>
      <c r="H1347"/>
      <c r="I1347"/>
    </row>
    <row r="1348" spans="7:9" x14ac:dyDescent="0.3">
      <c r="G1348"/>
      <c r="H1348"/>
      <c r="I1348"/>
    </row>
    <row r="1349" spans="7:9" x14ac:dyDescent="0.3">
      <c r="G1349"/>
      <c r="H1349"/>
      <c r="I1349"/>
    </row>
    <row r="1350" spans="7:9" x14ac:dyDescent="0.3">
      <c r="G1350"/>
      <c r="H1350"/>
      <c r="I1350"/>
    </row>
    <row r="1351" spans="7:9" x14ac:dyDescent="0.3">
      <c r="G1351"/>
      <c r="H1351"/>
      <c r="I1351"/>
    </row>
    <row r="1352" spans="7:9" x14ac:dyDescent="0.3">
      <c r="G1352"/>
      <c r="H1352"/>
      <c r="I1352"/>
    </row>
    <row r="1353" spans="7:9" x14ac:dyDescent="0.3">
      <c r="G1353"/>
      <c r="H1353"/>
      <c r="I1353"/>
    </row>
    <row r="1354" spans="7:9" x14ac:dyDescent="0.3">
      <c r="G1354"/>
      <c r="H1354"/>
      <c r="I1354"/>
    </row>
    <row r="1355" spans="7:9" x14ac:dyDescent="0.3">
      <c r="G1355"/>
      <c r="H1355"/>
      <c r="I1355"/>
    </row>
    <row r="1356" spans="7:9" x14ac:dyDescent="0.3">
      <c r="G1356"/>
      <c r="H1356"/>
      <c r="I1356"/>
    </row>
    <row r="1357" spans="7:9" x14ac:dyDescent="0.3">
      <c r="G1357"/>
      <c r="H1357"/>
      <c r="I1357"/>
    </row>
    <row r="1358" spans="7:9" x14ac:dyDescent="0.3">
      <c r="G1358"/>
      <c r="H1358"/>
      <c r="I1358"/>
    </row>
    <row r="1359" spans="7:9" x14ac:dyDescent="0.3">
      <c r="G1359"/>
      <c r="H1359"/>
      <c r="I1359"/>
    </row>
    <row r="1360" spans="7:9" x14ac:dyDescent="0.3">
      <c r="G1360"/>
      <c r="H1360"/>
      <c r="I1360"/>
    </row>
    <row r="1361" spans="7:9" x14ac:dyDescent="0.3">
      <c r="G1361"/>
      <c r="H1361"/>
      <c r="I1361"/>
    </row>
    <row r="1362" spans="7:9" x14ac:dyDescent="0.3">
      <c r="G1362"/>
      <c r="H1362"/>
      <c r="I1362"/>
    </row>
    <row r="1363" spans="7:9" x14ac:dyDescent="0.3">
      <c r="G1363"/>
      <c r="H1363"/>
      <c r="I1363"/>
    </row>
    <row r="1364" spans="7:9" x14ac:dyDescent="0.3">
      <c r="G1364"/>
      <c r="H1364"/>
      <c r="I1364"/>
    </row>
    <row r="1365" spans="7:9" x14ac:dyDescent="0.3">
      <c r="G1365"/>
      <c r="H1365"/>
      <c r="I1365"/>
    </row>
    <row r="1366" spans="7:9" x14ac:dyDescent="0.3">
      <c r="G1366"/>
      <c r="H1366"/>
      <c r="I1366"/>
    </row>
    <row r="1367" spans="7:9" x14ac:dyDescent="0.3">
      <c r="G1367"/>
      <c r="H1367"/>
      <c r="I1367"/>
    </row>
    <row r="1368" spans="7:9" x14ac:dyDescent="0.3">
      <c r="G1368"/>
      <c r="H1368"/>
      <c r="I1368"/>
    </row>
    <row r="1369" spans="7:9" x14ac:dyDescent="0.3">
      <c r="G1369"/>
      <c r="H1369"/>
      <c r="I1369"/>
    </row>
    <row r="1370" spans="7:9" x14ac:dyDescent="0.3">
      <c r="G1370"/>
      <c r="H1370"/>
      <c r="I1370"/>
    </row>
    <row r="1371" spans="7:9" x14ac:dyDescent="0.3">
      <c r="G1371"/>
      <c r="H1371"/>
      <c r="I1371"/>
    </row>
    <row r="1372" spans="7:9" x14ac:dyDescent="0.3">
      <c r="G1372"/>
      <c r="H1372"/>
      <c r="I1372"/>
    </row>
    <row r="1373" spans="7:9" x14ac:dyDescent="0.3">
      <c r="G1373"/>
      <c r="H1373"/>
      <c r="I1373"/>
    </row>
    <row r="1374" spans="7:9" x14ac:dyDescent="0.3">
      <c r="G1374"/>
      <c r="H1374"/>
      <c r="I1374"/>
    </row>
    <row r="1375" spans="7:9" x14ac:dyDescent="0.3">
      <c r="G1375"/>
      <c r="H1375"/>
      <c r="I1375"/>
    </row>
    <row r="1376" spans="7:9" x14ac:dyDescent="0.3">
      <c r="G1376"/>
      <c r="H1376"/>
      <c r="I1376"/>
    </row>
    <row r="1377" spans="7:9" x14ac:dyDescent="0.3">
      <c r="G1377"/>
      <c r="H1377"/>
      <c r="I1377"/>
    </row>
    <row r="1378" spans="7:9" x14ac:dyDescent="0.3">
      <c r="G1378"/>
      <c r="H1378"/>
      <c r="I1378"/>
    </row>
    <row r="1379" spans="7:9" x14ac:dyDescent="0.3">
      <c r="G1379"/>
      <c r="H1379"/>
      <c r="I1379"/>
    </row>
    <row r="1380" spans="7:9" x14ac:dyDescent="0.3">
      <c r="G1380"/>
      <c r="H1380"/>
      <c r="I1380"/>
    </row>
    <row r="1381" spans="7:9" x14ac:dyDescent="0.3">
      <c r="G1381"/>
      <c r="H1381"/>
      <c r="I1381"/>
    </row>
    <row r="1382" spans="7:9" x14ac:dyDescent="0.3">
      <c r="G1382"/>
      <c r="H1382"/>
      <c r="I1382"/>
    </row>
    <row r="1383" spans="7:9" x14ac:dyDescent="0.3">
      <c r="G1383"/>
      <c r="H1383"/>
      <c r="I1383"/>
    </row>
    <row r="1384" spans="7:9" x14ac:dyDescent="0.3">
      <c r="G1384"/>
      <c r="H1384"/>
      <c r="I1384"/>
    </row>
    <row r="1385" spans="7:9" x14ac:dyDescent="0.3">
      <c r="G1385"/>
      <c r="H1385"/>
      <c r="I1385"/>
    </row>
    <row r="1386" spans="7:9" x14ac:dyDescent="0.3">
      <c r="G1386"/>
      <c r="H1386"/>
      <c r="I1386"/>
    </row>
    <row r="1387" spans="7:9" x14ac:dyDescent="0.3">
      <c r="G1387"/>
      <c r="H1387"/>
      <c r="I1387"/>
    </row>
    <row r="1388" spans="7:9" x14ac:dyDescent="0.3">
      <c r="G1388"/>
      <c r="H1388"/>
      <c r="I1388"/>
    </row>
    <row r="1389" spans="7:9" x14ac:dyDescent="0.3">
      <c r="G1389"/>
      <c r="H1389"/>
      <c r="I1389"/>
    </row>
    <row r="1390" spans="7:9" x14ac:dyDescent="0.3">
      <c r="G1390"/>
      <c r="H1390"/>
      <c r="I1390"/>
    </row>
    <row r="1391" spans="7:9" x14ac:dyDescent="0.3">
      <c r="G1391"/>
      <c r="H1391"/>
      <c r="I1391"/>
    </row>
    <row r="1392" spans="7:9" x14ac:dyDescent="0.3">
      <c r="G1392"/>
      <c r="H1392"/>
      <c r="I1392"/>
    </row>
    <row r="1393" spans="7:9" x14ac:dyDescent="0.3">
      <c r="G1393"/>
      <c r="H1393"/>
      <c r="I1393"/>
    </row>
    <row r="1394" spans="7:9" x14ac:dyDescent="0.3">
      <c r="G1394"/>
      <c r="H1394"/>
      <c r="I1394"/>
    </row>
    <row r="1395" spans="7:9" x14ac:dyDescent="0.3">
      <c r="G1395"/>
      <c r="H1395"/>
      <c r="I1395"/>
    </row>
    <row r="1396" spans="7:9" x14ac:dyDescent="0.3">
      <c r="G1396"/>
      <c r="H1396"/>
      <c r="I1396"/>
    </row>
    <row r="1397" spans="7:9" x14ac:dyDescent="0.3">
      <c r="G1397"/>
      <c r="H1397"/>
      <c r="I1397"/>
    </row>
    <row r="1398" spans="7:9" x14ac:dyDescent="0.3">
      <c r="G1398"/>
      <c r="H1398"/>
      <c r="I1398"/>
    </row>
    <row r="1399" spans="7:9" x14ac:dyDescent="0.3">
      <c r="G1399"/>
      <c r="H1399"/>
      <c r="I1399"/>
    </row>
    <row r="1400" spans="7:9" x14ac:dyDescent="0.3">
      <c r="G1400"/>
      <c r="H1400"/>
      <c r="I1400"/>
    </row>
    <row r="1401" spans="7:9" x14ac:dyDescent="0.3">
      <c r="G1401"/>
      <c r="H1401"/>
      <c r="I1401"/>
    </row>
    <row r="1402" spans="7:9" x14ac:dyDescent="0.3">
      <c r="G1402"/>
      <c r="H1402"/>
      <c r="I1402"/>
    </row>
    <row r="1403" spans="7:9" x14ac:dyDescent="0.3">
      <c r="G1403"/>
      <c r="H1403"/>
      <c r="I1403"/>
    </row>
    <row r="1404" spans="7:9" x14ac:dyDescent="0.3">
      <c r="G1404"/>
      <c r="H1404"/>
      <c r="I1404"/>
    </row>
    <row r="1405" spans="7:9" x14ac:dyDescent="0.3">
      <c r="G1405"/>
      <c r="H1405"/>
      <c r="I1405"/>
    </row>
    <row r="1406" spans="7:9" x14ac:dyDescent="0.3">
      <c r="G1406"/>
      <c r="H1406"/>
      <c r="I1406"/>
    </row>
    <row r="1407" spans="7:9" x14ac:dyDescent="0.3">
      <c r="G1407"/>
      <c r="H1407"/>
      <c r="I1407"/>
    </row>
    <row r="1408" spans="7:9" x14ac:dyDescent="0.3">
      <c r="G1408"/>
      <c r="H1408"/>
      <c r="I1408"/>
    </row>
    <row r="1409" spans="7:9" x14ac:dyDescent="0.3">
      <c r="G1409"/>
      <c r="H1409"/>
      <c r="I1409"/>
    </row>
    <row r="1410" spans="7:9" x14ac:dyDescent="0.3">
      <c r="G1410"/>
      <c r="H1410"/>
      <c r="I1410"/>
    </row>
    <row r="1411" spans="7:9" x14ac:dyDescent="0.3">
      <c r="G1411"/>
      <c r="H1411"/>
      <c r="I1411"/>
    </row>
    <row r="1412" spans="7:9" x14ac:dyDescent="0.3">
      <c r="G1412"/>
      <c r="H1412"/>
      <c r="I1412"/>
    </row>
    <row r="1413" spans="7:9" x14ac:dyDescent="0.3">
      <c r="G1413"/>
      <c r="H1413"/>
      <c r="I1413"/>
    </row>
    <row r="1414" spans="7:9" x14ac:dyDescent="0.3">
      <c r="G1414"/>
      <c r="H1414"/>
      <c r="I1414"/>
    </row>
    <row r="1415" spans="7:9" x14ac:dyDescent="0.3">
      <c r="G1415"/>
      <c r="H1415"/>
      <c r="I1415"/>
    </row>
    <row r="1416" spans="7:9" x14ac:dyDescent="0.3">
      <c r="G1416"/>
      <c r="H1416"/>
      <c r="I1416"/>
    </row>
    <row r="1417" spans="7:9" x14ac:dyDescent="0.3">
      <c r="G1417"/>
      <c r="H1417"/>
      <c r="I1417"/>
    </row>
    <row r="1418" spans="7:9" x14ac:dyDescent="0.3">
      <c r="G1418"/>
      <c r="H1418"/>
      <c r="I1418"/>
    </row>
    <row r="1419" spans="7:9" x14ac:dyDescent="0.3">
      <c r="G1419"/>
      <c r="H1419"/>
      <c r="I1419"/>
    </row>
    <row r="1420" spans="7:9" x14ac:dyDescent="0.3">
      <c r="G1420"/>
      <c r="H1420"/>
      <c r="I1420"/>
    </row>
    <row r="1421" spans="7:9" x14ac:dyDescent="0.3">
      <c r="G1421"/>
      <c r="H1421"/>
      <c r="I1421"/>
    </row>
    <row r="1422" spans="7:9" x14ac:dyDescent="0.3">
      <c r="G1422"/>
      <c r="H1422"/>
      <c r="I1422"/>
    </row>
    <row r="1423" spans="7:9" x14ac:dyDescent="0.3">
      <c r="G1423"/>
      <c r="H1423"/>
      <c r="I1423"/>
    </row>
    <row r="1424" spans="7:9" x14ac:dyDescent="0.3">
      <c r="G1424"/>
      <c r="H1424"/>
      <c r="I1424"/>
    </row>
    <row r="1425" spans="7:8" x14ac:dyDescent="0.3">
      <c r="G1425"/>
      <c r="H1425"/>
    </row>
    <row r="1426" spans="7:8" x14ac:dyDescent="0.3">
      <c r="G1426"/>
      <c r="H1426"/>
    </row>
    <row r="1427" spans="7:8" x14ac:dyDescent="0.3">
      <c r="G1427"/>
      <c r="H1427"/>
    </row>
    <row r="1428" spans="7:8" x14ac:dyDescent="0.3">
      <c r="G1428"/>
      <c r="H1428"/>
    </row>
    <row r="1429" spans="7:8" x14ac:dyDescent="0.3">
      <c r="G1429"/>
      <c r="H1429"/>
    </row>
    <row r="1430" spans="7:8" x14ac:dyDescent="0.3">
      <c r="G1430"/>
      <c r="H1430"/>
    </row>
    <row r="1431" spans="7:8" x14ac:dyDescent="0.3">
      <c r="G1431"/>
      <c r="H1431"/>
    </row>
    <row r="1432" spans="7:8" x14ac:dyDescent="0.3">
      <c r="G1432"/>
      <c r="H1432"/>
    </row>
    <row r="1433" spans="7:8" x14ac:dyDescent="0.3">
      <c r="G1433"/>
      <c r="H1433"/>
    </row>
    <row r="1434" spans="7:8" x14ac:dyDescent="0.3">
      <c r="G1434"/>
      <c r="H1434"/>
    </row>
    <row r="1435" spans="7:8" x14ac:dyDescent="0.3">
      <c r="G1435"/>
      <c r="H1435"/>
    </row>
    <row r="1436" spans="7:8" x14ac:dyDescent="0.3">
      <c r="G1436"/>
      <c r="H1436"/>
    </row>
    <row r="1437" spans="7:8" x14ac:dyDescent="0.3">
      <c r="G1437"/>
      <c r="H1437"/>
    </row>
    <row r="1438" spans="7:8" x14ac:dyDescent="0.3">
      <c r="G1438"/>
      <c r="H1438"/>
    </row>
    <row r="1439" spans="7:8" x14ac:dyDescent="0.3">
      <c r="G1439"/>
      <c r="H1439"/>
    </row>
    <row r="1440" spans="7:8" x14ac:dyDescent="0.3">
      <c r="G1440"/>
      <c r="H1440"/>
    </row>
    <row r="1441" spans="7:8" x14ac:dyDescent="0.3">
      <c r="G1441"/>
      <c r="H1441"/>
    </row>
    <row r="1442" spans="7:8" x14ac:dyDescent="0.3">
      <c r="G1442"/>
      <c r="H1442"/>
    </row>
    <row r="1443" spans="7:8" x14ac:dyDescent="0.3">
      <c r="G1443"/>
      <c r="H1443"/>
    </row>
    <row r="1444" spans="7:8" x14ac:dyDescent="0.3">
      <c r="G1444"/>
      <c r="H1444"/>
    </row>
    <row r="1445" spans="7:8" x14ac:dyDescent="0.3">
      <c r="G1445"/>
      <c r="H1445"/>
    </row>
    <row r="1446" spans="7:8" x14ac:dyDescent="0.3">
      <c r="G1446"/>
      <c r="H1446"/>
    </row>
    <row r="1447" spans="7:8" x14ac:dyDescent="0.3">
      <c r="G1447"/>
      <c r="H1447"/>
    </row>
    <row r="1448" spans="7:8" x14ac:dyDescent="0.3">
      <c r="G1448"/>
      <c r="H1448"/>
    </row>
    <row r="1449" spans="7:8" x14ac:dyDescent="0.3">
      <c r="G1449"/>
      <c r="H1449"/>
    </row>
    <row r="1450" spans="7:8" x14ac:dyDescent="0.3">
      <c r="G1450"/>
      <c r="H1450"/>
    </row>
    <row r="1451" spans="7:8" x14ac:dyDescent="0.3">
      <c r="G1451"/>
      <c r="H1451"/>
    </row>
    <row r="1452" spans="7:8" x14ac:dyDescent="0.3">
      <c r="G1452"/>
      <c r="H1452"/>
    </row>
    <row r="1453" spans="7:8" x14ac:dyDescent="0.3">
      <c r="G1453"/>
      <c r="H1453"/>
    </row>
    <row r="1454" spans="7:8" x14ac:dyDescent="0.3">
      <c r="G1454"/>
      <c r="H1454"/>
    </row>
    <row r="1455" spans="7:8" x14ac:dyDescent="0.3">
      <c r="G1455"/>
      <c r="H1455"/>
    </row>
    <row r="1456" spans="7:8" x14ac:dyDescent="0.3">
      <c r="G1456"/>
      <c r="H1456"/>
    </row>
    <row r="1457" spans="7:8" x14ac:dyDescent="0.3">
      <c r="G1457"/>
      <c r="H1457"/>
    </row>
    <row r="1458" spans="7:8" x14ac:dyDescent="0.3">
      <c r="G1458"/>
      <c r="H1458"/>
    </row>
    <row r="1459" spans="7:8" x14ac:dyDescent="0.3">
      <c r="G1459"/>
      <c r="H1459"/>
    </row>
    <row r="1460" spans="7:8" x14ac:dyDescent="0.3">
      <c r="G1460"/>
      <c r="H1460"/>
    </row>
    <row r="1461" spans="7:8" x14ac:dyDescent="0.3">
      <c r="G1461"/>
      <c r="H1461"/>
    </row>
    <row r="1462" spans="7:8" x14ac:dyDescent="0.3">
      <c r="G1462"/>
      <c r="H1462"/>
    </row>
    <row r="1463" spans="7:8" x14ac:dyDescent="0.3">
      <c r="G1463"/>
      <c r="H1463"/>
    </row>
    <row r="1464" spans="7:8" x14ac:dyDescent="0.3">
      <c r="G1464"/>
      <c r="H1464"/>
    </row>
    <row r="1465" spans="7:8" x14ac:dyDescent="0.3">
      <c r="G1465"/>
      <c r="H1465"/>
    </row>
    <row r="1466" spans="7:8" x14ac:dyDescent="0.3">
      <c r="G1466"/>
      <c r="H1466"/>
    </row>
    <row r="1467" spans="7:8" x14ac:dyDescent="0.3">
      <c r="G1467"/>
      <c r="H1467"/>
    </row>
    <row r="1468" spans="7:8" x14ac:dyDescent="0.3">
      <c r="G1468"/>
      <c r="H1468"/>
    </row>
    <row r="1469" spans="7:8" x14ac:dyDescent="0.3">
      <c r="G1469"/>
      <c r="H1469"/>
    </row>
    <row r="1470" spans="7:8" x14ac:dyDescent="0.3">
      <c r="G1470"/>
      <c r="H1470"/>
    </row>
    <row r="1471" spans="7:8" x14ac:dyDescent="0.3">
      <c r="G1471"/>
      <c r="H1471"/>
    </row>
    <row r="1472" spans="7:8" x14ac:dyDescent="0.3">
      <c r="G1472"/>
      <c r="H1472"/>
    </row>
    <row r="1473" spans="7:8" x14ac:dyDescent="0.3">
      <c r="G1473"/>
      <c r="H1473"/>
    </row>
    <row r="1474" spans="7:8" x14ac:dyDescent="0.3">
      <c r="G1474"/>
      <c r="H1474"/>
    </row>
    <row r="1475" spans="7:8" x14ac:dyDescent="0.3">
      <c r="G1475"/>
      <c r="H1475"/>
    </row>
    <row r="1476" spans="7:8" x14ac:dyDescent="0.3">
      <c r="G1476"/>
      <c r="H1476"/>
    </row>
    <row r="1477" spans="7:8" x14ac:dyDescent="0.3">
      <c r="G1477"/>
      <c r="H1477"/>
    </row>
    <row r="1478" spans="7:8" x14ac:dyDescent="0.3">
      <c r="G1478"/>
      <c r="H1478"/>
    </row>
    <row r="1479" spans="7:8" x14ac:dyDescent="0.3">
      <c r="G1479"/>
      <c r="H1479"/>
    </row>
    <row r="1480" spans="7:8" x14ac:dyDescent="0.3">
      <c r="G1480"/>
      <c r="H1480"/>
    </row>
    <row r="1481" spans="7:8" x14ac:dyDescent="0.3">
      <c r="G1481"/>
      <c r="H1481"/>
    </row>
    <row r="1482" spans="7:8" x14ac:dyDescent="0.3">
      <c r="G1482"/>
      <c r="H1482"/>
    </row>
    <row r="1483" spans="7:8" x14ac:dyDescent="0.3">
      <c r="G1483"/>
      <c r="H1483"/>
    </row>
    <row r="1484" spans="7:8" x14ac:dyDescent="0.3">
      <c r="G1484"/>
      <c r="H1484"/>
    </row>
    <row r="1485" spans="7:8" x14ac:dyDescent="0.3">
      <c r="G1485"/>
      <c r="H1485"/>
    </row>
    <row r="1486" spans="7:8" x14ac:dyDescent="0.3">
      <c r="G1486"/>
      <c r="H1486"/>
    </row>
    <row r="1487" spans="7:8" x14ac:dyDescent="0.3">
      <c r="G1487"/>
      <c r="H1487"/>
    </row>
    <row r="1488" spans="7:8" x14ac:dyDescent="0.3">
      <c r="G1488"/>
      <c r="H1488"/>
    </row>
    <row r="1489" spans="7:8" x14ac:dyDescent="0.3">
      <c r="G1489"/>
      <c r="H1489"/>
    </row>
    <row r="1490" spans="7:8" x14ac:dyDescent="0.3">
      <c r="G1490"/>
      <c r="H1490"/>
    </row>
    <row r="1491" spans="7:8" x14ac:dyDescent="0.3">
      <c r="G1491"/>
      <c r="H1491"/>
    </row>
    <row r="1492" spans="7:8" x14ac:dyDescent="0.3">
      <c r="G1492"/>
      <c r="H1492"/>
    </row>
    <row r="1493" spans="7:8" x14ac:dyDescent="0.3">
      <c r="G1493"/>
      <c r="H1493"/>
    </row>
    <row r="1494" spans="7:8" x14ac:dyDescent="0.3">
      <c r="G1494"/>
      <c r="H1494"/>
    </row>
    <row r="1495" spans="7:8" x14ac:dyDescent="0.3">
      <c r="G1495"/>
      <c r="H1495"/>
    </row>
    <row r="1496" spans="7:8" x14ac:dyDescent="0.3">
      <c r="G1496"/>
      <c r="H1496"/>
    </row>
    <row r="1497" spans="7:8" x14ac:dyDescent="0.3">
      <c r="G1497"/>
      <c r="H1497"/>
    </row>
    <row r="1498" spans="7:8" x14ac:dyDescent="0.3">
      <c r="G1498"/>
      <c r="H1498"/>
    </row>
    <row r="1499" spans="7:8" x14ac:dyDescent="0.3">
      <c r="G1499"/>
      <c r="H1499"/>
    </row>
    <row r="1500" spans="7:8" x14ac:dyDescent="0.3">
      <c r="G1500"/>
      <c r="H1500"/>
    </row>
    <row r="1501" spans="7:8" x14ac:dyDescent="0.3">
      <c r="G1501"/>
      <c r="H1501"/>
    </row>
    <row r="1502" spans="7:8" x14ac:dyDescent="0.3">
      <c r="G1502"/>
      <c r="H1502"/>
    </row>
    <row r="1503" spans="7:8" x14ac:dyDescent="0.3">
      <c r="G1503"/>
      <c r="H1503"/>
    </row>
    <row r="1504" spans="7:8" x14ac:dyDescent="0.3">
      <c r="G1504"/>
      <c r="H1504"/>
    </row>
    <row r="1505" spans="7:8" x14ac:dyDescent="0.3">
      <c r="G1505"/>
      <c r="H1505"/>
    </row>
    <row r="1506" spans="7:8" x14ac:dyDescent="0.3">
      <c r="G1506"/>
      <c r="H1506"/>
    </row>
    <row r="1507" spans="7:8" x14ac:dyDescent="0.3">
      <c r="G1507"/>
      <c r="H1507"/>
    </row>
    <row r="1508" spans="7:8" x14ac:dyDescent="0.3">
      <c r="G1508"/>
      <c r="H1508"/>
    </row>
    <row r="1509" spans="7:8" x14ac:dyDescent="0.3">
      <c r="G1509"/>
      <c r="H1509"/>
    </row>
    <row r="1510" spans="7:8" x14ac:dyDescent="0.3">
      <c r="G1510"/>
      <c r="H1510"/>
    </row>
    <row r="1511" spans="7:8" x14ac:dyDescent="0.3">
      <c r="G1511"/>
      <c r="H1511"/>
    </row>
    <row r="1512" spans="7:8" x14ac:dyDescent="0.3">
      <c r="G1512"/>
      <c r="H1512"/>
    </row>
    <row r="1513" spans="7:8" x14ac:dyDescent="0.3">
      <c r="G1513"/>
      <c r="H1513"/>
    </row>
    <row r="1514" spans="7:8" x14ac:dyDescent="0.3">
      <c r="G1514"/>
      <c r="H1514"/>
    </row>
    <row r="1515" spans="7:8" x14ac:dyDescent="0.3">
      <c r="G1515"/>
      <c r="H1515"/>
    </row>
    <row r="1516" spans="7:8" x14ac:dyDescent="0.3">
      <c r="G1516"/>
      <c r="H1516"/>
    </row>
    <row r="1517" spans="7:8" x14ac:dyDescent="0.3">
      <c r="G1517"/>
      <c r="H1517"/>
    </row>
    <row r="1518" spans="7:8" x14ac:dyDescent="0.3">
      <c r="G1518"/>
      <c r="H1518"/>
    </row>
    <row r="1519" spans="7:8" x14ac:dyDescent="0.3">
      <c r="G1519"/>
      <c r="H1519"/>
    </row>
    <row r="1520" spans="7:8" x14ac:dyDescent="0.3">
      <c r="G1520"/>
      <c r="H1520"/>
    </row>
    <row r="1521" spans="7:8" x14ac:dyDescent="0.3">
      <c r="G1521"/>
      <c r="H1521"/>
    </row>
    <row r="1522" spans="7:8" x14ac:dyDescent="0.3">
      <c r="G1522"/>
      <c r="H1522"/>
    </row>
    <row r="1523" spans="7:8" x14ac:dyDescent="0.3">
      <c r="G1523"/>
      <c r="H1523"/>
    </row>
    <row r="1524" spans="7:8" x14ac:dyDescent="0.3">
      <c r="G1524"/>
      <c r="H1524"/>
    </row>
    <row r="1525" spans="7:8" x14ac:dyDescent="0.3">
      <c r="G1525"/>
      <c r="H1525"/>
    </row>
    <row r="1526" spans="7:8" x14ac:dyDescent="0.3">
      <c r="G1526"/>
      <c r="H1526"/>
    </row>
    <row r="1527" spans="7:8" x14ac:dyDescent="0.3">
      <c r="G1527"/>
      <c r="H1527"/>
    </row>
    <row r="1528" spans="7:8" x14ac:dyDescent="0.3">
      <c r="G1528"/>
      <c r="H1528"/>
    </row>
    <row r="1529" spans="7:8" x14ac:dyDescent="0.3">
      <c r="G1529"/>
      <c r="H1529"/>
    </row>
    <row r="1530" spans="7:8" x14ac:dyDescent="0.3">
      <c r="G1530"/>
      <c r="H1530"/>
    </row>
    <row r="1531" spans="7:8" x14ac:dyDescent="0.3">
      <c r="G1531"/>
      <c r="H1531"/>
    </row>
    <row r="1532" spans="7:8" x14ac:dyDescent="0.3">
      <c r="G1532"/>
      <c r="H1532"/>
    </row>
    <row r="1533" spans="7:8" x14ac:dyDescent="0.3">
      <c r="G1533"/>
      <c r="H1533"/>
    </row>
    <row r="1534" spans="7:8" x14ac:dyDescent="0.3">
      <c r="G1534"/>
      <c r="H1534"/>
    </row>
    <row r="1535" spans="7:8" x14ac:dyDescent="0.3">
      <c r="G1535"/>
      <c r="H1535"/>
    </row>
    <row r="1536" spans="7:8" x14ac:dyDescent="0.3">
      <c r="G1536"/>
      <c r="H1536"/>
    </row>
    <row r="1537" spans="7:8" x14ac:dyDescent="0.3">
      <c r="G1537"/>
      <c r="H1537"/>
    </row>
    <row r="1538" spans="7:8" x14ac:dyDescent="0.3">
      <c r="G1538"/>
      <c r="H1538"/>
    </row>
    <row r="1539" spans="7:8" x14ac:dyDescent="0.3">
      <c r="G1539"/>
      <c r="H1539"/>
    </row>
    <row r="1540" spans="7:8" x14ac:dyDescent="0.3">
      <c r="G1540"/>
      <c r="H1540"/>
    </row>
    <row r="1541" spans="7:8" x14ac:dyDescent="0.3">
      <c r="G1541"/>
      <c r="H1541"/>
    </row>
    <row r="1542" spans="7:8" x14ac:dyDescent="0.3">
      <c r="G1542"/>
      <c r="H1542"/>
    </row>
    <row r="1543" spans="7:8" x14ac:dyDescent="0.3">
      <c r="G1543"/>
      <c r="H1543"/>
    </row>
    <row r="1544" spans="7:8" x14ac:dyDescent="0.3">
      <c r="G1544"/>
      <c r="H1544"/>
    </row>
    <row r="1545" spans="7:8" x14ac:dyDescent="0.3">
      <c r="G1545"/>
      <c r="H1545"/>
    </row>
    <row r="1546" spans="7:8" x14ac:dyDescent="0.3">
      <c r="G1546"/>
      <c r="H1546"/>
    </row>
    <row r="1547" spans="7:8" x14ac:dyDescent="0.3">
      <c r="G1547"/>
      <c r="H1547"/>
    </row>
    <row r="1548" spans="7:8" x14ac:dyDescent="0.3">
      <c r="G1548"/>
      <c r="H1548"/>
    </row>
    <row r="1549" spans="7:8" x14ac:dyDescent="0.3">
      <c r="G1549"/>
      <c r="H1549"/>
    </row>
    <row r="1550" spans="7:8" x14ac:dyDescent="0.3">
      <c r="G1550"/>
      <c r="H1550"/>
    </row>
    <row r="1551" spans="7:8" x14ac:dyDescent="0.3">
      <c r="G1551"/>
      <c r="H1551"/>
    </row>
    <row r="1552" spans="7:8" x14ac:dyDescent="0.3">
      <c r="G1552"/>
      <c r="H1552"/>
    </row>
    <row r="1553" spans="7:8" x14ac:dyDescent="0.3">
      <c r="G1553"/>
      <c r="H1553"/>
    </row>
    <row r="1554" spans="7:8" x14ac:dyDescent="0.3">
      <c r="G1554"/>
      <c r="H1554"/>
    </row>
    <row r="1555" spans="7:8" x14ac:dyDescent="0.3">
      <c r="G1555"/>
      <c r="H1555"/>
    </row>
    <row r="1556" spans="7:8" x14ac:dyDescent="0.3">
      <c r="G1556"/>
      <c r="H1556"/>
    </row>
    <row r="1557" spans="7:8" x14ac:dyDescent="0.3">
      <c r="G1557"/>
      <c r="H1557"/>
    </row>
    <row r="1558" spans="7:8" x14ac:dyDescent="0.3">
      <c r="G1558"/>
      <c r="H1558"/>
    </row>
    <row r="1559" spans="7:8" x14ac:dyDescent="0.3">
      <c r="G1559"/>
      <c r="H1559"/>
    </row>
    <row r="1560" spans="7:8" x14ac:dyDescent="0.3">
      <c r="G1560"/>
      <c r="H1560"/>
    </row>
    <row r="1561" spans="7:8" x14ac:dyDescent="0.3">
      <c r="G1561"/>
      <c r="H1561"/>
    </row>
    <row r="1562" spans="7:8" x14ac:dyDescent="0.3">
      <c r="G1562"/>
      <c r="H1562"/>
    </row>
    <row r="1563" spans="7:8" x14ac:dyDescent="0.3">
      <c r="G1563"/>
      <c r="H1563"/>
    </row>
    <row r="1564" spans="7:8" x14ac:dyDescent="0.3">
      <c r="G1564"/>
      <c r="H1564"/>
    </row>
    <row r="1565" spans="7:8" x14ac:dyDescent="0.3">
      <c r="G1565"/>
      <c r="H1565"/>
    </row>
    <row r="1566" spans="7:8" x14ac:dyDescent="0.3">
      <c r="G1566"/>
      <c r="H1566"/>
    </row>
    <row r="1567" spans="7:8" x14ac:dyDescent="0.3">
      <c r="G1567"/>
      <c r="H1567"/>
    </row>
    <row r="1568" spans="7:8" x14ac:dyDescent="0.3">
      <c r="G1568"/>
      <c r="H1568"/>
    </row>
    <row r="1569" spans="7:8" x14ac:dyDescent="0.3">
      <c r="G1569"/>
      <c r="H1569"/>
    </row>
    <row r="1570" spans="7:8" x14ac:dyDescent="0.3">
      <c r="G1570"/>
      <c r="H1570"/>
    </row>
    <row r="1571" spans="7:8" x14ac:dyDescent="0.3">
      <c r="G1571"/>
      <c r="H1571"/>
    </row>
    <row r="1572" spans="7:8" x14ac:dyDescent="0.3">
      <c r="G1572"/>
      <c r="H1572"/>
    </row>
    <row r="1573" spans="7:8" x14ac:dyDescent="0.3">
      <c r="G1573"/>
      <c r="H1573"/>
    </row>
    <row r="1574" spans="7:8" x14ac:dyDescent="0.3">
      <c r="G1574"/>
      <c r="H1574"/>
    </row>
    <row r="1575" spans="7:8" x14ac:dyDescent="0.3">
      <c r="G1575"/>
      <c r="H1575"/>
    </row>
    <row r="1576" spans="7:8" x14ac:dyDescent="0.3">
      <c r="G1576"/>
      <c r="H1576"/>
    </row>
    <row r="1577" spans="7:8" x14ac:dyDescent="0.3">
      <c r="G1577"/>
      <c r="H1577"/>
    </row>
    <row r="1578" spans="7:8" x14ac:dyDescent="0.3">
      <c r="G1578"/>
      <c r="H1578"/>
    </row>
    <row r="1579" spans="7:8" x14ac:dyDescent="0.3">
      <c r="G1579"/>
      <c r="H1579"/>
    </row>
    <row r="1580" spans="7:8" x14ac:dyDescent="0.3">
      <c r="G1580"/>
      <c r="H1580"/>
    </row>
    <row r="1581" spans="7:8" x14ac:dyDescent="0.3">
      <c r="G1581"/>
      <c r="H1581"/>
    </row>
    <row r="1582" spans="7:8" x14ac:dyDescent="0.3">
      <c r="G1582"/>
      <c r="H1582"/>
    </row>
    <row r="1583" spans="7:8" x14ac:dyDescent="0.3">
      <c r="G1583"/>
      <c r="H1583"/>
    </row>
    <row r="1584" spans="7:8" x14ac:dyDescent="0.3">
      <c r="G1584"/>
      <c r="H1584"/>
    </row>
    <row r="1585" spans="7:8" x14ac:dyDescent="0.3">
      <c r="G1585"/>
      <c r="H1585"/>
    </row>
    <row r="1586" spans="7:8" x14ac:dyDescent="0.3">
      <c r="G1586"/>
      <c r="H1586"/>
    </row>
    <row r="1587" spans="7:8" x14ac:dyDescent="0.3">
      <c r="G1587"/>
      <c r="H1587"/>
    </row>
    <row r="1588" spans="7:8" x14ac:dyDescent="0.3">
      <c r="G1588"/>
      <c r="H1588"/>
    </row>
    <row r="1589" spans="7:8" x14ac:dyDescent="0.3">
      <c r="G1589"/>
      <c r="H1589"/>
    </row>
    <row r="1590" spans="7:8" x14ac:dyDescent="0.3">
      <c r="G1590"/>
      <c r="H1590"/>
    </row>
    <row r="1591" spans="7:8" x14ac:dyDescent="0.3">
      <c r="G1591"/>
      <c r="H1591"/>
    </row>
    <row r="1592" spans="7:8" x14ac:dyDescent="0.3">
      <c r="G1592"/>
      <c r="H1592"/>
    </row>
    <row r="1593" spans="7:8" x14ac:dyDescent="0.3">
      <c r="G1593"/>
      <c r="H1593"/>
    </row>
    <row r="1594" spans="7:8" x14ac:dyDescent="0.3">
      <c r="G1594"/>
      <c r="H1594"/>
    </row>
    <row r="1595" spans="7:8" x14ac:dyDescent="0.3">
      <c r="G1595"/>
      <c r="H1595"/>
    </row>
    <row r="1596" spans="7:8" x14ac:dyDescent="0.3">
      <c r="G1596"/>
      <c r="H1596"/>
    </row>
    <row r="1597" spans="7:8" x14ac:dyDescent="0.3">
      <c r="G1597"/>
      <c r="H1597"/>
    </row>
    <row r="1598" spans="7:8" x14ac:dyDescent="0.3">
      <c r="G1598"/>
      <c r="H1598"/>
    </row>
    <row r="1599" spans="7:8" x14ac:dyDescent="0.3">
      <c r="G1599"/>
      <c r="H1599"/>
    </row>
    <row r="1600" spans="7:8" x14ac:dyDescent="0.3">
      <c r="G1600"/>
      <c r="H1600"/>
    </row>
    <row r="1601" spans="7:8" x14ac:dyDescent="0.3">
      <c r="G1601"/>
      <c r="H1601"/>
    </row>
    <row r="1602" spans="7:8" x14ac:dyDescent="0.3">
      <c r="G1602"/>
      <c r="H1602"/>
    </row>
    <row r="1603" spans="7:8" x14ac:dyDescent="0.3">
      <c r="G1603"/>
      <c r="H1603"/>
    </row>
    <row r="1604" spans="7:8" x14ac:dyDescent="0.3">
      <c r="G1604"/>
      <c r="H1604"/>
    </row>
    <row r="1605" spans="7:8" x14ac:dyDescent="0.3">
      <c r="G1605"/>
      <c r="H1605"/>
    </row>
    <row r="1606" spans="7:8" x14ac:dyDescent="0.3">
      <c r="G1606"/>
      <c r="H1606"/>
    </row>
    <row r="1607" spans="7:8" x14ac:dyDescent="0.3">
      <c r="G1607"/>
      <c r="H1607"/>
    </row>
    <row r="1608" spans="7:8" x14ac:dyDescent="0.3">
      <c r="G1608"/>
      <c r="H1608"/>
    </row>
    <row r="1609" spans="7:8" x14ac:dyDescent="0.3">
      <c r="G1609"/>
      <c r="H1609"/>
    </row>
    <row r="1610" spans="7:8" x14ac:dyDescent="0.3">
      <c r="G1610"/>
      <c r="H1610"/>
    </row>
    <row r="1611" spans="7:8" x14ac:dyDescent="0.3">
      <c r="G1611"/>
      <c r="H1611"/>
    </row>
    <row r="1612" spans="7:8" x14ac:dyDescent="0.3">
      <c r="G1612"/>
      <c r="H1612"/>
    </row>
    <row r="1613" spans="7:8" x14ac:dyDescent="0.3">
      <c r="G1613"/>
      <c r="H1613"/>
    </row>
    <row r="1614" spans="7:8" x14ac:dyDescent="0.3">
      <c r="G1614"/>
      <c r="H1614"/>
    </row>
    <row r="1615" spans="7:8" x14ac:dyDescent="0.3">
      <c r="G1615"/>
      <c r="H1615"/>
    </row>
    <row r="1616" spans="7:8" x14ac:dyDescent="0.3">
      <c r="G1616"/>
      <c r="H1616"/>
    </row>
    <row r="1617" spans="7:8" x14ac:dyDescent="0.3">
      <c r="G1617"/>
      <c r="H1617"/>
    </row>
    <row r="1618" spans="7:8" x14ac:dyDescent="0.3">
      <c r="G1618"/>
      <c r="H1618"/>
    </row>
    <row r="1619" spans="7:8" x14ac:dyDescent="0.3">
      <c r="G1619"/>
      <c r="H1619"/>
    </row>
    <row r="1620" spans="7:8" x14ac:dyDescent="0.3">
      <c r="G1620"/>
      <c r="H1620"/>
    </row>
    <row r="1621" spans="7:8" x14ac:dyDescent="0.3">
      <c r="G1621"/>
      <c r="H1621"/>
    </row>
    <row r="1622" spans="7:8" x14ac:dyDescent="0.3">
      <c r="G1622"/>
      <c r="H1622"/>
    </row>
    <row r="1623" spans="7:8" x14ac:dyDescent="0.3">
      <c r="G1623"/>
      <c r="H1623"/>
    </row>
    <row r="1624" spans="7:8" x14ac:dyDescent="0.3">
      <c r="G1624"/>
      <c r="H1624"/>
    </row>
    <row r="1625" spans="7:8" x14ac:dyDescent="0.3">
      <c r="G1625"/>
      <c r="H1625"/>
    </row>
    <row r="1626" spans="7:8" x14ac:dyDescent="0.3">
      <c r="G1626"/>
      <c r="H1626"/>
    </row>
    <row r="1627" spans="7:8" x14ac:dyDescent="0.3">
      <c r="G1627"/>
      <c r="H1627"/>
    </row>
    <row r="1628" spans="7:8" x14ac:dyDescent="0.3">
      <c r="G1628"/>
      <c r="H1628"/>
    </row>
    <row r="1629" spans="7:8" x14ac:dyDescent="0.3">
      <c r="G1629"/>
      <c r="H1629"/>
    </row>
    <row r="1630" spans="7:8" x14ac:dyDescent="0.3">
      <c r="G1630"/>
      <c r="H1630"/>
    </row>
    <row r="1631" spans="7:8" x14ac:dyDescent="0.3">
      <c r="G1631"/>
      <c r="H1631"/>
    </row>
    <row r="1632" spans="7:8" x14ac:dyDescent="0.3">
      <c r="G1632"/>
      <c r="H1632"/>
    </row>
    <row r="1633" spans="7:8" x14ac:dyDescent="0.3">
      <c r="G1633"/>
      <c r="H1633"/>
    </row>
    <row r="1634" spans="7:8" x14ac:dyDescent="0.3">
      <c r="G1634"/>
      <c r="H1634"/>
    </row>
    <row r="1635" spans="7:8" x14ac:dyDescent="0.3">
      <c r="G1635"/>
      <c r="H1635"/>
    </row>
    <row r="1636" spans="7:8" x14ac:dyDescent="0.3">
      <c r="G1636"/>
      <c r="H1636"/>
    </row>
    <row r="1637" spans="7:8" x14ac:dyDescent="0.3">
      <c r="G1637"/>
      <c r="H1637"/>
    </row>
    <row r="1638" spans="7:8" x14ac:dyDescent="0.3">
      <c r="G1638"/>
      <c r="H1638"/>
    </row>
    <row r="1639" spans="7:8" x14ac:dyDescent="0.3">
      <c r="G1639"/>
      <c r="H1639"/>
    </row>
    <row r="1640" spans="7:8" x14ac:dyDescent="0.3">
      <c r="G1640"/>
      <c r="H1640"/>
    </row>
    <row r="1641" spans="7:8" x14ac:dyDescent="0.3">
      <c r="G1641"/>
      <c r="H1641"/>
    </row>
    <row r="1642" spans="7:8" x14ac:dyDescent="0.3">
      <c r="G1642"/>
      <c r="H1642"/>
    </row>
    <row r="1643" spans="7:8" x14ac:dyDescent="0.3">
      <c r="G1643"/>
      <c r="H1643"/>
    </row>
    <row r="1644" spans="7:8" x14ac:dyDescent="0.3">
      <c r="G1644"/>
      <c r="H1644"/>
    </row>
    <row r="1645" spans="7:8" x14ac:dyDescent="0.3">
      <c r="G1645"/>
      <c r="H1645"/>
    </row>
    <row r="1646" spans="7:8" x14ac:dyDescent="0.3">
      <c r="G1646"/>
      <c r="H1646"/>
    </row>
    <row r="1647" spans="7:8" x14ac:dyDescent="0.3">
      <c r="G1647"/>
      <c r="H1647"/>
    </row>
    <row r="1648" spans="7:8" x14ac:dyDescent="0.3">
      <c r="G1648"/>
      <c r="H1648"/>
    </row>
    <row r="1649" spans="7:8" x14ac:dyDescent="0.3">
      <c r="G1649"/>
      <c r="H1649"/>
    </row>
    <row r="1650" spans="7:8" x14ac:dyDescent="0.3">
      <c r="G1650"/>
      <c r="H1650"/>
    </row>
    <row r="1651" spans="7:8" x14ac:dyDescent="0.3">
      <c r="G1651"/>
      <c r="H1651"/>
    </row>
    <row r="1652" spans="7:8" x14ac:dyDescent="0.3">
      <c r="G1652"/>
      <c r="H1652"/>
    </row>
    <row r="1653" spans="7:8" x14ac:dyDescent="0.3">
      <c r="G1653"/>
      <c r="H1653"/>
    </row>
    <row r="1654" spans="7:8" x14ac:dyDescent="0.3">
      <c r="G1654"/>
      <c r="H1654"/>
    </row>
    <row r="1655" spans="7:8" x14ac:dyDescent="0.3">
      <c r="G1655"/>
      <c r="H1655"/>
    </row>
    <row r="1656" spans="7:8" x14ac:dyDescent="0.3">
      <c r="G1656"/>
      <c r="H1656"/>
    </row>
    <row r="1657" spans="7:8" x14ac:dyDescent="0.3">
      <c r="G1657"/>
      <c r="H1657"/>
    </row>
    <row r="1658" spans="7:8" x14ac:dyDescent="0.3">
      <c r="G1658"/>
      <c r="H1658"/>
    </row>
    <row r="1659" spans="7:8" x14ac:dyDescent="0.3">
      <c r="G1659"/>
      <c r="H1659"/>
    </row>
    <row r="1660" spans="7:8" x14ac:dyDescent="0.3">
      <c r="G1660"/>
      <c r="H1660"/>
    </row>
    <row r="1661" spans="7:8" x14ac:dyDescent="0.3">
      <c r="G1661"/>
      <c r="H1661"/>
    </row>
    <row r="1662" spans="7:8" x14ac:dyDescent="0.3">
      <c r="G1662"/>
      <c r="H1662"/>
    </row>
    <row r="1663" spans="7:8" x14ac:dyDescent="0.3">
      <c r="G1663"/>
      <c r="H1663"/>
    </row>
    <row r="1664" spans="7:8" x14ac:dyDescent="0.3">
      <c r="G1664"/>
      <c r="H1664"/>
    </row>
    <row r="1665" spans="7:8" x14ac:dyDescent="0.3">
      <c r="G1665"/>
      <c r="H1665"/>
    </row>
    <row r="1666" spans="7:8" x14ac:dyDescent="0.3">
      <c r="G1666"/>
      <c r="H1666"/>
    </row>
    <row r="1667" spans="7:8" x14ac:dyDescent="0.3">
      <c r="G1667"/>
      <c r="H1667"/>
    </row>
    <row r="1668" spans="7:8" x14ac:dyDescent="0.3">
      <c r="G1668"/>
      <c r="H1668"/>
    </row>
    <row r="1669" spans="7:8" x14ac:dyDescent="0.3">
      <c r="G1669"/>
      <c r="H1669"/>
    </row>
    <row r="1670" spans="7:8" x14ac:dyDescent="0.3">
      <c r="G1670"/>
      <c r="H1670"/>
    </row>
    <row r="1671" spans="7:8" x14ac:dyDescent="0.3">
      <c r="G1671"/>
      <c r="H1671"/>
    </row>
    <row r="1672" spans="7:8" x14ac:dyDescent="0.3">
      <c r="G1672"/>
      <c r="H1672"/>
    </row>
    <row r="1673" spans="7:8" x14ac:dyDescent="0.3">
      <c r="G1673"/>
      <c r="H1673"/>
    </row>
    <row r="1674" spans="7:8" x14ac:dyDescent="0.3">
      <c r="G1674"/>
      <c r="H1674"/>
    </row>
    <row r="1675" spans="7:8" x14ac:dyDescent="0.3">
      <c r="G1675"/>
      <c r="H1675"/>
    </row>
    <row r="1676" spans="7:8" x14ac:dyDescent="0.3">
      <c r="G1676"/>
      <c r="H1676"/>
    </row>
    <row r="1677" spans="7:8" x14ac:dyDescent="0.3">
      <c r="G1677"/>
      <c r="H1677"/>
    </row>
    <row r="1678" spans="7:8" x14ac:dyDescent="0.3">
      <c r="G1678"/>
      <c r="H1678"/>
    </row>
    <row r="1679" spans="7:8" x14ac:dyDescent="0.3">
      <c r="G1679"/>
      <c r="H1679"/>
    </row>
    <row r="1680" spans="7:8" x14ac:dyDescent="0.3">
      <c r="G1680"/>
      <c r="H1680"/>
    </row>
    <row r="1681" spans="7:8" x14ac:dyDescent="0.3">
      <c r="G1681"/>
      <c r="H1681"/>
    </row>
    <row r="1682" spans="7:8" x14ac:dyDescent="0.3">
      <c r="G1682"/>
      <c r="H1682"/>
    </row>
    <row r="1683" spans="7:8" x14ac:dyDescent="0.3">
      <c r="G1683"/>
      <c r="H1683"/>
    </row>
    <row r="1684" spans="7:8" x14ac:dyDescent="0.3">
      <c r="G1684"/>
      <c r="H1684"/>
    </row>
    <row r="1685" spans="7:8" x14ac:dyDescent="0.3">
      <c r="G1685"/>
      <c r="H1685"/>
    </row>
    <row r="1686" spans="7:8" x14ac:dyDescent="0.3">
      <c r="G1686"/>
      <c r="H1686"/>
    </row>
    <row r="1687" spans="7:8" x14ac:dyDescent="0.3">
      <c r="G1687"/>
      <c r="H1687"/>
    </row>
    <row r="1688" spans="7:8" x14ac:dyDescent="0.3">
      <c r="G1688"/>
      <c r="H1688"/>
    </row>
    <row r="1689" spans="7:8" x14ac:dyDescent="0.3">
      <c r="G1689"/>
      <c r="H1689"/>
    </row>
    <row r="1690" spans="7:8" x14ac:dyDescent="0.3">
      <c r="G1690"/>
      <c r="H1690"/>
    </row>
    <row r="1691" spans="7:8" x14ac:dyDescent="0.3">
      <c r="G1691"/>
      <c r="H1691"/>
    </row>
    <row r="1692" spans="7:8" x14ac:dyDescent="0.3">
      <c r="G1692"/>
      <c r="H1692"/>
    </row>
    <row r="1693" spans="7:8" x14ac:dyDescent="0.3">
      <c r="G1693"/>
      <c r="H1693"/>
    </row>
    <row r="1694" spans="7:8" x14ac:dyDescent="0.3">
      <c r="G1694"/>
      <c r="H1694"/>
    </row>
    <row r="1695" spans="7:8" x14ac:dyDescent="0.3">
      <c r="G1695"/>
      <c r="H1695"/>
    </row>
    <row r="1696" spans="7:8" x14ac:dyDescent="0.3">
      <c r="G1696"/>
      <c r="H1696"/>
    </row>
    <row r="1697" spans="7:8" x14ac:dyDescent="0.3">
      <c r="G1697"/>
      <c r="H1697"/>
    </row>
    <row r="1698" spans="7:8" x14ac:dyDescent="0.3">
      <c r="G1698"/>
      <c r="H1698"/>
    </row>
    <row r="1699" spans="7:8" x14ac:dyDescent="0.3">
      <c r="G1699"/>
      <c r="H1699"/>
    </row>
    <row r="1700" spans="7:8" x14ac:dyDescent="0.3">
      <c r="G1700"/>
      <c r="H1700"/>
    </row>
    <row r="1701" spans="7:8" x14ac:dyDescent="0.3">
      <c r="G1701"/>
      <c r="H1701"/>
    </row>
    <row r="1702" spans="7:8" x14ac:dyDescent="0.3">
      <c r="G1702"/>
      <c r="H1702"/>
    </row>
    <row r="1703" spans="7:8" x14ac:dyDescent="0.3">
      <c r="G1703"/>
      <c r="H1703"/>
    </row>
    <row r="1704" spans="7:8" x14ac:dyDescent="0.3">
      <c r="G1704"/>
      <c r="H1704"/>
    </row>
    <row r="1705" spans="7:8" x14ac:dyDescent="0.3">
      <c r="G1705"/>
      <c r="H1705"/>
    </row>
    <row r="1706" spans="7:8" x14ac:dyDescent="0.3">
      <c r="G1706"/>
      <c r="H1706"/>
    </row>
    <row r="1707" spans="7:8" x14ac:dyDescent="0.3">
      <c r="G1707"/>
      <c r="H1707"/>
    </row>
    <row r="1708" spans="7:8" x14ac:dyDescent="0.3">
      <c r="G1708"/>
      <c r="H1708"/>
    </row>
    <row r="1709" spans="7:8" x14ac:dyDescent="0.3">
      <c r="G1709"/>
      <c r="H1709"/>
    </row>
    <row r="1710" spans="7:8" x14ac:dyDescent="0.3">
      <c r="G1710"/>
      <c r="H1710"/>
    </row>
    <row r="1711" spans="7:8" x14ac:dyDescent="0.3">
      <c r="G1711"/>
      <c r="H1711"/>
    </row>
    <row r="1712" spans="7:8" x14ac:dyDescent="0.3">
      <c r="G1712"/>
      <c r="H1712"/>
    </row>
    <row r="1713" spans="7:8" x14ac:dyDescent="0.3">
      <c r="G1713"/>
      <c r="H1713"/>
    </row>
    <row r="1714" spans="7:8" x14ac:dyDescent="0.3">
      <c r="G1714"/>
      <c r="H1714"/>
    </row>
    <row r="1715" spans="7:8" x14ac:dyDescent="0.3">
      <c r="G1715"/>
      <c r="H1715"/>
    </row>
    <row r="1716" spans="7:8" x14ac:dyDescent="0.3">
      <c r="G1716"/>
      <c r="H1716"/>
    </row>
    <row r="1717" spans="7:8" x14ac:dyDescent="0.3">
      <c r="G1717"/>
      <c r="H1717"/>
    </row>
    <row r="1718" spans="7:8" x14ac:dyDescent="0.3">
      <c r="G1718"/>
      <c r="H1718"/>
    </row>
    <row r="1719" spans="7:8" x14ac:dyDescent="0.3">
      <c r="G1719"/>
      <c r="H1719"/>
    </row>
    <row r="1720" spans="7:8" x14ac:dyDescent="0.3">
      <c r="G1720"/>
      <c r="H1720"/>
    </row>
    <row r="1721" spans="7:8" x14ac:dyDescent="0.3">
      <c r="G1721"/>
      <c r="H1721"/>
    </row>
    <row r="1722" spans="7:8" x14ac:dyDescent="0.3">
      <c r="G1722"/>
      <c r="H1722"/>
    </row>
    <row r="1723" spans="7:8" x14ac:dyDescent="0.3">
      <c r="G1723"/>
      <c r="H1723"/>
    </row>
    <row r="1724" spans="7:8" x14ac:dyDescent="0.3">
      <c r="G1724"/>
      <c r="H1724"/>
    </row>
    <row r="1725" spans="7:8" x14ac:dyDescent="0.3">
      <c r="G1725"/>
      <c r="H1725"/>
    </row>
    <row r="1726" spans="7:8" x14ac:dyDescent="0.3">
      <c r="G1726"/>
      <c r="H1726"/>
    </row>
    <row r="1727" spans="7:8" x14ac:dyDescent="0.3">
      <c r="G1727"/>
      <c r="H1727"/>
    </row>
    <row r="1728" spans="7:8" x14ac:dyDescent="0.3">
      <c r="G1728"/>
      <c r="H1728"/>
    </row>
    <row r="1729" spans="7:8" x14ac:dyDescent="0.3">
      <c r="G1729"/>
      <c r="H1729"/>
    </row>
    <row r="1730" spans="7:8" x14ac:dyDescent="0.3">
      <c r="G1730"/>
      <c r="H1730"/>
    </row>
    <row r="1731" spans="7:8" x14ac:dyDescent="0.3">
      <c r="G1731"/>
      <c r="H1731"/>
    </row>
    <row r="1732" spans="7:8" x14ac:dyDescent="0.3">
      <c r="G1732"/>
      <c r="H1732"/>
    </row>
    <row r="1733" spans="7:8" x14ac:dyDescent="0.3">
      <c r="G1733"/>
      <c r="H1733"/>
    </row>
    <row r="1734" spans="7:8" x14ac:dyDescent="0.3">
      <c r="G1734"/>
      <c r="H1734"/>
    </row>
    <row r="1735" spans="7:8" x14ac:dyDescent="0.3">
      <c r="G1735"/>
      <c r="H1735"/>
    </row>
    <row r="1736" spans="7:8" x14ac:dyDescent="0.3">
      <c r="G1736"/>
      <c r="H1736"/>
    </row>
    <row r="1737" spans="7:8" x14ac:dyDescent="0.3">
      <c r="G1737"/>
      <c r="H1737"/>
    </row>
    <row r="1738" spans="7:8" x14ac:dyDescent="0.3">
      <c r="G1738"/>
      <c r="H1738"/>
    </row>
    <row r="1739" spans="7:8" x14ac:dyDescent="0.3">
      <c r="G1739"/>
      <c r="H1739"/>
    </row>
    <row r="1740" spans="7:8" x14ac:dyDescent="0.3">
      <c r="G1740"/>
      <c r="H1740"/>
    </row>
    <row r="1741" spans="7:8" x14ac:dyDescent="0.3">
      <c r="G1741"/>
      <c r="H1741"/>
    </row>
    <row r="1742" spans="7:8" x14ac:dyDescent="0.3">
      <c r="G1742"/>
      <c r="H1742"/>
    </row>
    <row r="1743" spans="7:8" x14ac:dyDescent="0.3">
      <c r="G1743"/>
      <c r="H1743"/>
    </row>
    <row r="1744" spans="7:8" x14ac:dyDescent="0.3">
      <c r="G1744"/>
      <c r="H1744"/>
    </row>
    <row r="1745" spans="7:8" x14ac:dyDescent="0.3">
      <c r="G1745"/>
      <c r="H1745"/>
    </row>
    <row r="1746" spans="7:8" x14ac:dyDescent="0.3">
      <c r="G1746"/>
      <c r="H1746"/>
    </row>
    <row r="1747" spans="7:8" x14ac:dyDescent="0.3">
      <c r="G1747"/>
      <c r="H1747"/>
    </row>
    <row r="1748" spans="7:8" x14ac:dyDescent="0.3">
      <c r="G1748"/>
      <c r="H1748"/>
    </row>
    <row r="1749" spans="7:8" x14ac:dyDescent="0.3">
      <c r="G1749"/>
      <c r="H1749"/>
    </row>
    <row r="1750" spans="7:8" x14ac:dyDescent="0.3">
      <c r="G1750"/>
      <c r="H1750"/>
    </row>
    <row r="1751" spans="7:8" x14ac:dyDescent="0.3">
      <c r="G1751"/>
      <c r="H1751"/>
    </row>
    <row r="1752" spans="7:8" x14ac:dyDescent="0.3">
      <c r="G1752"/>
      <c r="H1752"/>
    </row>
    <row r="1753" spans="7:8" x14ac:dyDescent="0.3">
      <c r="G1753"/>
      <c r="H1753"/>
    </row>
    <row r="1754" spans="7:8" x14ac:dyDescent="0.3">
      <c r="G1754"/>
      <c r="H1754"/>
    </row>
    <row r="1755" spans="7:8" x14ac:dyDescent="0.3">
      <c r="G1755"/>
      <c r="H1755"/>
    </row>
    <row r="1756" spans="7:8" x14ac:dyDescent="0.3">
      <c r="G1756"/>
      <c r="H1756"/>
    </row>
    <row r="1757" spans="7:8" x14ac:dyDescent="0.3">
      <c r="G1757"/>
      <c r="H1757"/>
    </row>
    <row r="1758" spans="7:8" x14ac:dyDescent="0.3">
      <c r="G1758"/>
      <c r="H1758"/>
    </row>
    <row r="1759" spans="7:8" x14ac:dyDescent="0.3">
      <c r="G1759"/>
      <c r="H1759"/>
    </row>
    <row r="1760" spans="7:8" x14ac:dyDescent="0.3">
      <c r="G1760"/>
      <c r="H1760"/>
    </row>
    <row r="1761" spans="7:8" x14ac:dyDescent="0.3">
      <c r="G1761"/>
      <c r="H1761"/>
    </row>
    <row r="1762" spans="7:8" x14ac:dyDescent="0.3">
      <c r="G1762"/>
      <c r="H1762"/>
    </row>
    <row r="1763" spans="7:8" x14ac:dyDescent="0.3">
      <c r="G1763"/>
      <c r="H1763"/>
    </row>
    <row r="1764" spans="7:8" x14ac:dyDescent="0.3">
      <c r="G1764"/>
      <c r="H1764"/>
    </row>
    <row r="1765" spans="7:8" x14ac:dyDescent="0.3">
      <c r="G1765"/>
      <c r="H1765"/>
    </row>
    <row r="1766" spans="7:8" x14ac:dyDescent="0.3">
      <c r="G1766"/>
      <c r="H1766"/>
    </row>
    <row r="1767" spans="7:8" x14ac:dyDescent="0.3">
      <c r="G1767"/>
      <c r="H1767"/>
    </row>
    <row r="1768" spans="7:8" x14ac:dyDescent="0.3">
      <c r="G1768"/>
      <c r="H1768"/>
    </row>
    <row r="1769" spans="7:8" x14ac:dyDescent="0.3">
      <c r="G1769"/>
      <c r="H1769"/>
    </row>
    <row r="1770" spans="7:8" x14ac:dyDescent="0.3">
      <c r="G1770"/>
      <c r="H1770"/>
    </row>
    <row r="1771" spans="7:8" x14ac:dyDescent="0.3">
      <c r="G1771"/>
      <c r="H1771"/>
    </row>
    <row r="1772" spans="7:8" x14ac:dyDescent="0.3">
      <c r="G1772"/>
      <c r="H1772"/>
    </row>
    <row r="1773" spans="7:8" x14ac:dyDescent="0.3">
      <c r="G1773"/>
      <c r="H1773"/>
    </row>
    <row r="1774" spans="7:8" x14ac:dyDescent="0.3">
      <c r="G1774"/>
      <c r="H1774"/>
    </row>
    <row r="1775" spans="7:8" x14ac:dyDescent="0.3">
      <c r="G1775"/>
      <c r="H1775"/>
    </row>
    <row r="1776" spans="7:8" x14ac:dyDescent="0.3">
      <c r="G1776"/>
      <c r="H1776"/>
    </row>
    <row r="1777" spans="7:8" x14ac:dyDescent="0.3">
      <c r="G1777"/>
      <c r="H1777"/>
    </row>
    <row r="1778" spans="7:8" x14ac:dyDescent="0.3">
      <c r="G1778"/>
      <c r="H1778"/>
    </row>
    <row r="1779" spans="7:8" x14ac:dyDescent="0.3">
      <c r="G1779"/>
      <c r="H1779"/>
    </row>
    <row r="1780" spans="7:8" x14ac:dyDescent="0.3">
      <c r="G1780"/>
      <c r="H1780"/>
    </row>
    <row r="1781" spans="7:8" x14ac:dyDescent="0.3">
      <c r="G1781"/>
      <c r="H1781"/>
    </row>
    <row r="1782" spans="7:8" x14ac:dyDescent="0.3">
      <c r="G1782"/>
      <c r="H1782"/>
    </row>
    <row r="1783" spans="7:8" x14ac:dyDescent="0.3">
      <c r="G1783"/>
      <c r="H1783"/>
    </row>
    <row r="1784" spans="7:8" x14ac:dyDescent="0.3">
      <c r="G1784"/>
      <c r="H1784"/>
    </row>
    <row r="1785" spans="7:8" x14ac:dyDescent="0.3">
      <c r="G1785"/>
      <c r="H1785"/>
    </row>
    <row r="1786" spans="7:8" x14ac:dyDescent="0.3">
      <c r="G1786"/>
      <c r="H1786"/>
    </row>
    <row r="1787" spans="7:8" x14ac:dyDescent="0.3">
      <c r="G1787"/>
      <c r="H1787"/>
    </row>
    <row r="1788" spans="7:8" x14ac:dyDescent="0.3">
      <c r="G1788"/>
      <c r="H1788"/>
    </row>
    <row r="1789" spans="7:8" x14ac:dyDescent="0.3">
      <c r="G1789"/>
      <c r="H1789"/>
    </row>
    <row r="1790" spans="7:8" x14ac:dyDescent="0.3">
      <c r="G1790"/>
      <c r="H1790"/>
    </row>
    <row r="1791" spans="7:8" x14ac:dyDescent="0.3">
      <c r="G1791"/>
      <c r="H1791"/>
    </row>
    <row r="1792" spans="7:8" x14ac:dyDescent="0.3">
      <c r="G1792"/>
      <c r="H1792"/>
    </row>
    <row r="1793" spans="7:8" x14ac:dyDescent="0.3">
      <c r="G1793"/>
      <c r="H1793"/>
    </row>
    <row r="1794" spans="7:8" x14ac:dyDescent="0.3">
      <c r="G1794"/>
      <c r="H1794"/>
    </row>
    <row r="1795" spans="7:8" x14ac:dyDescent="0.3">
      <c r="G1795"/>
      <c r="H1795"/>
    </row>
    <row r="1796" spans="7:8" x14ac:dyDescent="0.3">
      <c r="G1796"/>
      <c r="H1796"/>
    </row>
    <row r="1797" spans="7:8" x14ac:dyDescent="0.3">
      <c r="G1797"/>
      <c r="H1797"/>
    </row>
    <row r="1798" spans="7:8" x14ac:dyDescent="0.3">
      <c r="G1798"/>
      <c r="H1798"/>
    </row>
    <row r="1799" spans="7:8" x14ac:dyDescent="0.3">
      <c r="G1799"/>
      <c r="H1799"/>
    </row>
    <row r="1800" spans="7:8" x14ac:dyDescent="0.3">
      <c r="G1800"/>
      <c r="H1800"/>
    </row>
    <row r="1801" spans="7:8" x14ac:dyDescent="0.3">
      <c r="G1801"/>
      <c r="H1801"/>
    </row>
    <row r="1802" spans="7:8" x14ac:dyDescent="0.3">
      <c r="G1802"/>
      <c r="H1802"/>
    </row>
    <row r="1803" spans="7:8" x14ac:dyDescent="0.3">
      <c r="G1803"/>
      <c r="H1803"/>
    </row>
    <row r="1804" spans="7:8" x14ac:dyDescent="0.3">
      <c r="G1804"/>
      <c r="H1804"/>
    </row>
    <row r="1805" spans="7:8" x14ac:dyDescent="0.3">
      <c r="G1805"/>
      <c r="H1805"/>
    </row>
    <row r="1806" spans="7:8" x14ac:dyDescent="0.3">
      <c r="G1806"/>
      <c r="H1806"/>
    </row>
    <row r="1807" spans="7:8" x14ac:dyDescent="0.3">
      <c r="G1807"/>
      <c r="H1807"/>
    </row>
    <row r="1808" spans="7:8" x14ac:dyDescent="0.3">
      <c r="G1808"/>
      <c r="H1808"/>
    </row>
    <row r="1809" spans="7:8" x14ac:dyDescent="0.3">
      <c r="G1809"/>
      <c r="H1809"/>
    </row>
    <row r="1810" spans="7:8" x14ac:dyDescent="0.3">
      <c r="G1810"/>
      <c r="H1810"/>
    </row>
    <row r="1811" spans="7:8" x14ac:dyDescent="0.3">
      <c r="G1811"/>
      <c r="H1811"/>
    </row>
    <row r="1812" spans="7:8" x14ac:dyDescent="0.3">
      <c r="G1812"/>
      <c r="H1812"/>
    </row>
    <row r="1813" spans="7:8" x14ac:dyDescent="0.3">
      <c r="G1813"/>
      <c r="H1813"/>
    </row>
    <row r="1814" spans="7:8" x14ac:dyDescent="0.3">
      <c r="G1814"/>
      <c r="H1814"/>
    </row>
    <row r="1815" spans="7:8" x14ac:dyDescent="0.3">
      <c r="G1815"/>
      <c r="H1815"/>
    </row>
    <row r="1816" spans="7:8" x14ac:dyDescent="0.3">
      <c r="G1816"/>
      <c r="H1816"/>
    </row>
    <row r="1817" spans="7:8" x14ac:dyDescent="0.3">
      <c r="G1817"/>
      <c r="H1817"/>
    </row>
    <row r="1818" spans="7:8" x14ac:dyDescent="0.3">
      <c r="G1818"/>
      <c r="H1818"/>
    </row>
    <row r="1819" spans="7:8" x14ac:dyDescent="0.3">
      <c r="G1819"/>
      <c r="H1819"/>
    </row>
    <row r="1820" spans="7:8" x14ac:dyDescent="0.3">
      <c r="G1820"/>
      <c r="H1820"/>
    </row>
    <row r="1821" spans="7:8" x14ac:dyDescent="0.3">
      <c r="G1821"/>
      <c r="H1821"/>
    </row>
    <row r="1822" spans="7:8" x14ac:dyDescent="0.3">
      <c r="G1822"/>
      <c r="H1822"/>
    </row>
    <row r="1823" spans="7:8" x14ac:dyDescent="0.3">
      <c r="G1823"/>
      <c r="H1823"/>
    </row>
    <row r="1824" spans="7:8" x14ac:dyDescent="0.3">
      <c r="G1824"/>
      <c r="H1824"/>
    </row>
    <row r="1825" spans="7:8" x14ac:dyDescent="0.3">
      <c r="G1825"/>
      <c r="H1825"/>
    </row>
    <row r="1826" spans="7:8" x14ac:dyDescent="0.3">
      <c r="G1826"/>
    </row>
    <row r="1827" spans="7:8" x14ac:dyDescent="0.3">
      <c r="G1827"/>
    </row>
    <row r="1828" spans="7:8" x14ac:dyDescent="0.3">
      <c r="G1828"/>
    </row>
    <row r="1829" spans="7:8" x14ac:dyDescent="0.3">
      <c r="G1829"/>
    </row>
    <row r="1830" spans="7:8" x14ac:dyDescent="0.3">
      <c r="G1830"/>
    </row>
    <row r="1831" spans="7:8" x14ac:dyDescent="0.3">
      <c r="G1831"/>
    </row>
    <row r="1832" spans="7:8" x14ac:dyDescent="0.3">
      <c r="G1832"/>
    </row>
    <row r="1833" spans="7:8" x14ac:dyDescent="0.3">
      <c r="G1833"/>
    </row>
    <row r="1834" spans="7:8" x14ac:dyDescent="0.3">
      <c r="G1834"/>
    </row>
    <row r="1835" spans="7:8" x14ac:dyDescent="0.3">
      <c r="G1835"/>
    </row>
    <row r="1836" spans="7:8" x14ac:dyDescent="0.3">
      <c r="G1836"/>
    </row>
    <row r="1837" spans="7:8" x14ac:dyDescent="0.3">
      <c r="G1837"/>
    </row>
    <row r="1838" spans="7:8" x14ac:dyDescent="0.3">
      <c r="G1838"/>
    </row>
    <row r="1839" spans="7:8" x14ac:dyDescent="0.3">
      <c r="G1839"/>
    </row>
    <row r="1840" spans="7:8" x14ac:dyDescent="0.3">
      <c r="G1840"/>
    </row>
    <row r="1841" spans="7:7" x14ac:dyDescent="0.3">
      <c r="G1841"/>
    </row>
    <row r="1842" spans="7:7" x14ac:dyDescent="0.3">
      <c r="G1842"/>
    </row>
    <row r="1843" spans="7:7" x14ac:dyDescent="0.3">
      <c r="G1843"/>
    </row>
    <row r="1844" spans="7:7" x14ac:dyDescent="0.3">
      <c r="G1844"/>
    </row>
    <row r="1845" spans="7:7" x14ac:dyDescent="0.3">
      <c r="G1845"/>
    </row>
    <row r="1846" spans="7:7" x14ac:dyDescent="0.3">
      <c r="G1846"/>
    </row>
    <row r="1847" spans="7:7" x14ac:dyDescent="0.3">
      <c r="G1847"/>
    </row>
    <row r="1848" spans="7:7" x14ac:dyDescent="0.3">
      <c r="G1848"/>
    </row>
    <row r="1849" spans="7:7" x14ac:dyDescent="0.3">
      <c r="G1849"/>
    </row>
    <row r="1850" spans="7:7" x14ac:dyDescent="0.3">
      <c r="G1850"/>
    </row>
    <row r="1851" spans="7:7" x14ac:dyDescent="0.3">
      <c r="G1851"/>
    </row>
    <row r="1852" spans="7:7" x14ac:dyDescent="0.3">
      <c r="G1852"/>
    </row>
    <row r="1853" spans="7:7" x14ac:dyDescent="0.3">
      <c r="G1853"/>
    </row>
    <row r="1854" spans="7:7" x14ac:dyDescent="0.3">
      <c r="G1854"/>
    </row>
    <row r="1855" spans="7:7" x14ac:dyDescent="0.3">
      <c r="G1855"/>
    </row>
    <row r="1856" spans="7:7" x14ac:dyDescent="0.3">
      <c r="G1856"/>
    </row>
    <row r="1857" spans="7:7" x14ac:dyDescent="0.3">
      <c r="G1857"/>
    </row>
    <row r="1858" spans="7:7" x14ac:dyDescent="0.3">
      <c r="G1858"/>
    </row>
    <row r="1859" spans="7:7" x14ac:dyDescent="0.3">
      <c r="G1859"/>
    </row>
    <row r="1860" spans="7:7" x14ac:dyDescent="0.3">
      <c r="G1860"/>
    </row>
    <row r="1861" spans="7:7" x14ac:dyDescent="0.3">
      <c r="G1861"/>
    </row>
    <row r="1862" spans="7:7" x14ac:dyDescent="0.3">
      <c r="G1862"/>
    </row>
    <row r="1863" spans="7:7" x14ac:dyDescent="0.3">
      <c r="G1863"/>
    </row>
    <row r="1864" spans="7:7" x14ac:dyDescent="0.3">
      <c r="G1864"/>
    </row>
    <row r="1865" spans="7:7" x14ac:dyDescent="0.3">
      <c r="G1865"/>
    </row>
    <row r="1866" spans="7:7" x14ac:dyDescent="0.3">
      <c r="G1866"/>
    </row>
    <row r="1867" spans="7:7" x14ac:dyDescent="0.3">
      <c r="G1867"/>
    </row>
    <row r="1868" spans="7:7" x14ac:dyDescent="0.3">
      <c r="G1868"/>
    </row>
    <row r="1869" spans="7:7" x14ac:dyDescent="0.3">
      <c r="G1869"/>
    </row>
    <row r="1870" spans="7:7" x14ac:dyDescent="0.3">
      <c r="G1870"/>
    </row>
    <row r="1871" spans="7:7" x14ac:dyDescent="0.3">
      <c r="G1871"/>
    </row>
    <row r="1872" spans="7:7" x14ac:dyDescent="0.3">
      <c r="G1872"/>
    </row>
    <row r="1873" spans="7:7" x14ac:dyDescent="0.3">
      <c r="G1873"/>
    </row>
    <row r="1874" spans="7:7" x14ac:dyDescent="0.3">
      <c r="G1874"/>
    </row>
    <row r="1875" spans="7:7" x14ac:dyDescent="0.3">
      <c r="G1875"/>
    </row>
    <row r="1876" spans="7:7" x14ac:dyDescent="0.3">
      <c r="G1876"/>
    </row>
    <row r="1877" spans="7:7" x14ac:dyDescent="0.3">
      <c r="G1877"/>
    </row>
    <row r="1878" spans="7:7" x14ac:dyDescent="0.3">
      <c r="G1878"/>
    </row>
    <row r="1879" spans="7:7" x14ac:dyDescent="0.3">
      <c r="G1879"/>
    </row>
    <row r="1880" spans="7:7" x14ac:dyDescent="0.3">
      <c r="G1880"/>
    </row>
    <row r="1881" spans="7:7" x14ac:dyDescent="0.3">
      <c r="G1881"/>
    </row>
    <row r="1882" spans="7:7" x14ac:dyDescent="0.3">
      <c r="G1882"/>
    </row>
    <row r="1883" spans="7:7" x14ac:dyDescent="0.3">
      <c r="G1883"/>
    </row>
    <row r="1884" spans="7:7" x14ac:dyDescent="0.3">
      <c r="G1884"/>
    </row>
    <row r="1885" spans="7:7" x14ac:dyDescent="0.3">
      <c r="G1885"/>
    </row>
    <row r="1886" spans="7:7" x14ac:dyDescent="0.3">
      <c r="G1886"/>
    </row>
    <row r="1887" spans="7:7" x14ac:dyDescent="0.3">
      <c r="G1887"/>
    </row>
    <row r="1888" spans="7:7" x14ac:dyDescent="0.3">
      <c r="G1888"/>
    </row>
    <row r="1889" spans="7:7" x14ac:dyDescent="0.3">
      <c r="G1889"/>
    </row>
    <row r="1890" spans="7:7" x14ac:dyDescent="0.3">
      <c r="G1890"/>
    </row>
    <row r="1891" spans="7:7" x14ac:dyDescent="0.3">
      <c r="G1891"/>
    </row>
    <row r="1892" spans="7:7" x14ac:dyDescent="0.3">
      <c r="G1892"/>
    </row>
    <row r="1893" spans="7:7" x14ac:dyDescent="0.3">
      <c r="G1893"/>
    </row>
    <row r="1894" spans="7:7" x14ac:dyDescent="0.3">
      <c r="G1894"/>
    </row>
    <row r="1895" spans="7:7" x14ac:dyDescent="0.3">
      <c r="G1895"/>
    </row>
    <row r="1896" spans="7:7" x14ac:dyDescent="0.3">
      <c r="G1896"/>
    </row>
    <row r="1897" spans="7:7" x14ac:dyDescent="0.3">
      <c r="G1897"/>
    </row>
    <row r="1898" spans="7:7" x14ac:dyDescent="0.3">
      <c r="G1898"/>
    </row>
    <row r="1899" spans="7:7" x14ac:dyDescent="0.3">
      <c r="G1899"/>
    </row>
    <row r="1900" spans="7:7" x14ac:dyDescent="0.3">
      <c r="G1900"/>
    </row>
    <row r="1901" spans="7:7" x14ac:dyDescent="0.3">
      <c r="G1901"/>
    </row>
    <row r="1902" spans="7:7" x14ac:dyDescent="0.3">
      <c r="G1902"/>
    </row>
    <row r="1903" spans="7:7" x14ac:dyDescent="0.3">
      <c r="G1903"/>
    </row>
    <row r="1904" spans="7:7" x14ac:dyDescent="0.3">
      <c r="G1904"/>
    </row>
    <row r="1905" spans="7:7" x14ac:dyDescent="0.3">
      <c r="G1905"/>
    </row>
    <row r="1906" spans="7:7" x14ac:dyDescent="0.3">
      <c r="G1906"/>
    </row>
    <row r="1907" spans="7:7" x14ac:dyDescent="0.3">
      <c r="G1907"/>
    </row>
    <row r="1908" spans="7:7" x14ac:dyDescent="0.3">
      <c r="G1908"/>
    </row>
    <row r="1909" spans="7:7" x14ac:dyDescent="0.3">
      <c r="G1909"/>
    </row>
    <row r="1910" spans="7:7" x14ac:dyDescent="0.3">
      <c r="G1910"/>
    </row>
    <row r="1911" spans="7:7" x14ac:dyDescent="0.3">
      <c r="G1911"/>
    </row>
    <row r="1912" spans="7:7" x14ac:dyDescent="0.3">
      <c r="G1912"/>
    </row>
    <row r="1913" spans="7:7" x14ac:dyDescent="0.3">
      <c r="G1913"/>
    </row>
    <row r="1914" spans="7:7" x14ac:dyDescent="0.3">
      <c r="G1914"/>
    </row>
    <row r="1915" spans="7:7" x14ac:dyDescent="0.3">
      <c r="G1915"/>
    </row>
    <row r="1916" spans="7:7" x14ac:dyDescent="0.3">
      <c r="G1916"/>
    </row>
    <row r="1917" spans="7:7" x14ac:dyDescent="0.3">
      <c r="G1917"/>
    </row>
    <row r="1918" spans="7:7" x14ac:dyDescent="0.3">
      <c r="G1918"/>
    </row>
    <row r="1919" spans="7:7" x14ac:dyDescent="0.3">
      <c r="G1919"/>
    </row>
    <row r="1920" spans="7:7" x14ac:dyDescent="0.3">
      <c r="G1920"/>
    </row>
    <row r="1921" spans="7:7" x14ac:dyDescent="0.3">
      <c r="G1921"/>
    </row>
    <row r="1922" spans="7:7" x14ac:dyDescent="0.3">
      <c r="G1922"/>
    </row>
    <row r="1923" spans="7:7" x14ac:dyDescent="0.3">
      <c r="G1923"/>
    </row>
    <row r="1924" spans="7:7" x14ac:dyDescent="0.3">
      <c r="G1924"/>
    </row>
    <row r="1925" spans="7:7" x14ac:dyDescent="0.3">
      <c r="G1925"/>
    </row>
    <row r="1926" spans="7:7" x14ac:dyDescent="0.3">
      <c r="G1926"/>
    </row>
    <row r="1927" spans="7:7" x14ac:dyDescent="0.3">
      <c r="G1927"/>
    </row>
    <row r="1928" spans="7:7" x14ac:dyDescent="0.3">
      <c r="G1928"/>
    </row>
    <row r="1929" spans="7:7" x14ac:dyDescent="0.3">
      <c r="G1929"/>
    </row>
    <row r="1930" spans="7:7" x14ac:dyDescent="0.3">
      <c r="G1930"/>
    </row>
    <row r="1931" spans="7:7" x14ac:dyDescent="0.3">
      <c r="G1931"/>
    </row>
    <row r="1932" spans="7:7" x14ac:dyDescent="0.3">
      <c r="G1932"/>
    </row>
    <row r="1933" spans="7:7" x14ac:dyDescent="0.3">
      <c r="G1933"/>
    </row>
    <row r="1934" spans="7:7" x14ac:dyDescent="0.3">
      <c r="G1934"/>
    </row>
    <row r="1935" spans="7:7" x14ac:dyDescent="0.3">
      <c r="G1935"/>
    </row>
    <row r="1936" spans="7:7" x14ac:dyDescent="0.3">
      <c r="G1936"/>
    </row>
    <row r="1937" spans="7:7" x14ac:dyDescent="0.3">
      <c r="G1937"/>
    </row>
    <row r="1938" spans="7:7" x14ac:dyDescent="0.3">
      <c r="G1938"/>
    </row>
    <row r="1939" spans="7:7" x14ac:dyDescent="0.3">
      <c r="G1939"/>
    </row>
    <row r="1940" spans="7:7" x14ac:dyDescent="0.3">
      <c r="G1940"/>
    </row>
    <row r="1941" spans="7:7" x14ac:dyDescent="0.3">
      <c r="G1941"/>
    </row>
    <row r="1942" spans="7:7" x14ac:dyDescent="0.3">
      <c r="G1942"/>
    </row>
    <row r="1943" spans="7:7" x14ac:dyDescent="0.3">
      <c r="G1943"/>
    </row>
    <row r="1944" spans="7:7" x14ac:dyDescent="0.3">
      <c r="G1944"/>
    </row>
    <row r="1945" spans="7:7" x14ac:dyDescent="0.3">
      <c r="G1945"/>
    </row>
    <row r="1946" spans="7:7" x14ac:dyDescent="0.3">
      <c r="G1946"/>
    </row>
    <row r="1947" spans="7:7" x14ac:dyDescent="0.3">
      <c r="G1947"/>
    </row>
    <row r="1948" spans="7:7" x14ac:dyDescent="0.3">
      <c r="G1948"/>
    </row>
    <row r="1949" spans="7:7" x14ac:dyDescent="0.3">
      <c r="G1949"/>
    </row>
    <row r="1950" spans="7:7" x14ac:dyDescent="0.3">
      <c r="G1950"/>
    </row>
    <row r="1951" spans="7:7" x14ac:dyDescent="0.3">
      <c r="G1951"/>
    </row>
    <row r="1952" spans="7:7" x14ac:dyDescent="0.3">
      <c r="G1952"/>
    </row>
    <row r="1953" spans="7:7" x14ac:dyDescent="0.3">
      <c r="G1953"/>
    </row>
    <row r="1954" spans="7:7" x14ac:dyDescent="0.3">
      <c r="G1954"/>
    </row>
    <row r="1955" spans="7:7" x14ac:dyDescent="0.3">
      <c r="G1955"/>
    </row>
    <row r="1956" spans="7:7" x14ac:dyDescent="0.3">
      <c r="G1956"/>
    </row>
    <row r="1957" spans="7:7" x14ac:dyDescent="0.3">
      <c r="G1957"/>
    </row>
    <row r="1958" spans="7:7" x14ac:dyDescent="0.3">
      <c r="G1958"/>
    </row>
    <row r="1959" spans="7:7" x14ac:dyDescent="0.3">
      <c r="G1959"/>
    </row>
    <row r="1960" spans="7:7" x14ac:dyDescent="0.3">
      <c r="G1960"/>
    </row>
    <row r="1961" spans="7:7" x14ac:dyDescent="0.3">
      <c r="G1961"/>
    </row>
    <row r="1962" spans="7:7" x14ac:dyDescent="0.3">
      <c r="G1962"/>
    </row>
    <row r="1963" spans="7:7" x14ac:dyDescent="0.3">
      <c r="G1963"/>
    </row>
    <row r="1964" spans="7:7" x14ac:dyDescent="0.3">
      <c r="G1964"/>
    </row>
    <row r="1965" spans="7:7" x14ac:dyDescent="0.3">
      <c r="G1965"/>
    </row>
    <row r="1966" spans="7:7" x14ac:dyDescent="0.3">
      <c r="G1966"/>
    </row>
    <row r="1967" spans="7:7" x14ac:dyDescent="0.3">
      <c r="G1967"/>
    </row>
    <row r="1968" spans="7:7" x14ac:dyDescent="0.3">
      <c r="G1968"/>
    </row>
    <row r="1969" spans="7:7" x14ac:dyDescent="0.3">
      <c r="G1969"/>
    </row>
    <row r="1970" spans="7:7" x14ac:dyDescent="0.3">
      <c r="G1970"/>
    </row>
    <row r="1971" spans="7:7" x14ac:dyDescent="0.3">
      <c r="G1971"/>
    </row>
    <row r="1972" spans="7:7" x14ac:dyDescent="0.3">
      <c r="G1972"/>
    </row>
    <row r="1973" spans="7:7" x14ac:dyDescent="0.3">
      <c r="G1973"/>
    </row>
    <row r="1974" spans="7:7" x14ac:dyDescent="0.3">
      <c r="G1974"/>
    </row>
    <row r="1975" spans="7:7" x14ac:dyDescent="0.3">
      <c r="G1975"/>
    </row>
    <row r="1976" spans="7:7" x14ac:dyDescent="0.3">
      <c r="G1976"/>
    </row>
    <row r="1977" spans="7:7" x14ac:dyDescent="0.3">
      <c r="G1977"/>
    </row>
    <row r="1978" spans="7:7" x14ac:dyDescent="0.3">
      <c r="G1978"/>
    </row>
    <row r="1979" spans="7:7" x14ac:dyDescent="0.3">
      <c r="G1979"/>
    </row>
    <row r="1980" spans="7:7" x14ac:dyDescent="0.3">
      <c r="G1980"/>
    </row>
    <row r="1981" spans="7:7" x14ac:dyDescent="0.3">
      <c r="G1981"/>
    </row>
    <row r="1982" spans="7:7" x14ac:dyDescent="0.3">
      <c r="G1982"/>
    </row>
    <row r="1983" spans="7:7" x14ac:dyDescent="0.3">
      <c r="G1983"/>
    </row>
    <row r="1984" spans="7:7" x14ac:dyDescent="0.3">
      <c r="G1984"/>
    </row>
    <row r="1985" spans="7:7" x14ac:dyDescent="0.3">
      <c r="G1985"/>
    </row>
    <row r="1986" spans="7:7" x14ac:dyDescent="0.3">
      <c r="G1986"/>
    </row>
    <row r="1987" spans="7:7" x14ac:dyDescent="0.3">
      <c r="G1987"/>
    </row>
    <row r="1988" spans="7:7" x14ac:dyDescent="0.3">
      <c r="G1988"/>
    </row>
    <row r="1989" spans="7:7" x14ac:dyDescent="0.3">
      <c r="G1989"/>
    </row>
    <row r="1990" spans="7:7" x14ac:dyDescent="0.3">
      <c r="G1990"/>
    </row>
    <row r="1991" spans="7:7" x14ac:dyDescent="0.3">
      <c r="G1991"/>
    </row>
    <row r="1992" spans="7:7" x14ac:dyDescent="0.3">
      <c r="G1992"/>
    </row>
    <row r="1993" spans="7:7" x14ac:dyDescent="0.3">
      <c r="G1993"/>
    </row>
    <row r="1994" spans="7:7" x14ac:dyDescent="0.3">
      <c r="G1994"/>
    </row>
    <row r="1995" spans="7:7" x14ac:dyDescent="0.3">
      <c r="G1995"/>
    </row>
    <row r="1996" spans="7:7" x14ac:dyDescent="0.3">
      <c r="G1996"/>
    </row>
    <row r="1997" spans="7:7" x14ac:dyDescent="0.3">
      <c r="G1997"/>
    </row>
    <row r="1998" spans="7:7" x14ac:dyDescent="0.3">
      <c r="G1998"/>
    </row>
    <row r="1999" spans="7:7" x14ac:dyDescent="0.3">
      <c r="G1999"/>
    </row>
    <row r="2000" spans="7:7" x14ac:dyDescent="0.3">
      <c r="G2000"/>
    </row>
    <row r="2001" spans="7:7" x14ac:dyDescent="0.3">
      <c r="G2001"/>
    </row>
    <row r="2002" spans="7:7" x14ac:dyDescent="0.3">
      <c r="G2002"/>
    </row>
    <row r="2003" spans="7:7" x14ac:dyDescent="0.3">
      <c r="G2003"/>
    </row>
    <row r="2004" spans="7:7" x14ac:dyDescent="0.3">
      <c r="G2004"/>
    </row>
    <row r="2005" spans="7:7" x14ac:dyDescent="0.3">
      <c r="G2005"/>
    </row>
    <row r="2006" spans="7:7" x14ac:dyDescent="0.3">
      <c r="G2006"/>
    </row>
    <row r="2007" spans="7:7" x14ac:dyDescent="0.3">
      <c r="G2007"/>
    </row>
    <row r="2008" spans="7:7" x14ac:dyDescent="0.3">
      <c r="G2008"/>
    </row>
    <row r="2009" spans="7:7" x14ac:dyDescent="0.3">
      <c r="G2009"/>
    </row>
    <row r="2010" spans="7:7" x14ac:dyDescent="0.3">
      <c r="G2010"/>
    </row>
    <row r="2011" spans="7:7" x14ac:dyDescent="0.3">
      <c r="G2011"/>
    </row>
    <row r="2012" spans="7:7" x14ac:dyDescent="0.3">
      <c r="G2012"/>
    </row>
    <row r="2013" spans="7:7" x14ac:dyDescent="0.3">
      <c r="G2013"/>
    </row>
    <row r="2014" spans="7:7" x14ac:dyDescent="0.3">
      <c r="G2014"/>
    </row>
    <row r="2015" spans="7:7" x14ac:dyDescent="0.3">
      <c r="G2015"/>
    </row>
    <row r="2016" spans="7:7" x14ac:dyDescent="0.3">
      <c r="G2016"/>
    </row>
    <row r="2017" spans="7:7" x14ac:dyDescent="0.3">
      <c r="G2017"/>
    </row>
    <row r="2018" spans="7:7" x14ac:dyDescent="0.3">
      <c r="G2018"/>
    </row>
    <row r="2019" spans="7:7" x14ac:dyDescent="0.3">
      <c r="G2019"/>
    </row>
    <row r="2020" spans="7:7" x14ac:dyDescent="0.3">
      <c r="G2020"/>
    </row>
    <row r="2021" spans="7:7" x14ac:dyDescent="0.3">
      <c r="G2021"/>
    </row>
    <row r="2022" spans="7:7" x14ac:dyDescent="0.3">
      <c r="G2022"/>
    </row>
    <row r="2023" spans="7:7" x14ac:dyDescent="0.3">
      <c r="G2023"/>
    </row>
    <row r="2024" spans="7:7" x14ac:dyDescent="0.3">
      <c r="G2024"/>
    </row>
    <row r="2025" spans="7:7" x14ac:dyDescent="0.3">
      <c r="G2025"/>
    </row>
    <row r="2026" spans="7:7" x14ac:dyDescent="0.3">
      <c r="G2026"/>
    </row>
    <row r="2027" spans="7:7" x14ac:dyDescent="0.3">
      <c r="G2027"/>
    </row>
    <row r="2028" spans="7:7" x14ac:dyDescent="0.3">
      <c r="G2028"/>
    </row>
    <row r="2029" spans="7:7" x14ac:dyDescent="0.3">
      <c r="G2029"/>
    </row>
    <row r="2030" spans="7:7" x14ac:dyDescent="0.3">
      <c r="G2030"/>
    </row>
    <row r="2031" spans="7:7" x14ac:dyDescent="0.3">
      <c r="G2031"/>
    </row>
    <row r="2032" spans="7:7" x14ac:dyDescent="0.3">
      <c r="G2032"/>
    </row>
    <row r="2033" spans="7:7" x14ac:dyDescent="0.3">
      <c r="G2033"/>
    </row>
    <row r="2034" spans="7:7" x14ac:dyDescent="0.3">
      <c r="G2034"/>
    </row>
    <row r="2035" spans="7:7" x14ac:dyDescent="0.3">
      <c r="G2035"/>
    </row>
    <row r="2036" spans="7:7" x14ac:dyDescent="0.3">
      <c r="G2036"/>
    </row>
    <row r="2037" spans="7:7" x14ac:dyDescent="0.3">
      <c r="G2037"/>
    </row>
    <row r="2038" spans="7:7" x14ac:dyDescent="0.3">
      <c r="G2038"/>
    </row>
    <row r="2039" spans="7:7" x14ac:dyDescent="0.3">
      <c r="G2039"/>
    </row>
    <row r="2040" spans="7:7" x14ac:dyDescent="0.3">
      <c r="G2040"/>
    </row>
    <row r="2041" spans="7:7" x14ac:dyDescent="0.3">
      <c r="G2041"/>
    </row>
    <row r="2042" spans="7:7" x14ac:dyDescent="0.3">
      <c r="G2042"/>
    </row>
    <row r="2043" spans="7:7" x14ac:dyDescent="0.3">
      <c r="G2043"/>
    </row>
    <row r="2044" spans="7:7" x14ac:dyDescent="0.3">
      <c r="G2044"/>
    </row>
    <row r="2045" spans="7:7" x14ac:dyDescent="0.3">
      <c r="G2045"/>
    </row>
    <row r="2046" spans="7:7" x14ac:dyDescent="0.3">
      <c r="G2046"/>
    </row>
    <row r="2047" spans="7:7" x14ac:dyDescent="0.3">
      <c r="G2047"/>
    </row>
    <row r="2048" spans="7:7" x14ac:dyDescent="0.3">
      <c r="G2048"/>
    </row>
    <row r="2049" spans="7:7" x14ac:dyDescent="0.3">
      <c r="G2049"/>
    </row>
    <row r="2050" spans="7:7" x14ac:dyDescent="0.3">
      <c r="G2050"/>
    </row>
    <row r="2051" spans="7:7" x14ac:dyDescent="0.3">
      <c r="G2051"/>
    </row>
    <row r="2052" spans="7:7" x14ac:dyDescent="0.3">
      <c r="G2052"/>
    </row>
    <row r="2053" spans="7:7" x14ac:dyDescent="0.3">
      <c r="G2053"/>
    </row>
    <row r="2054" spans="7:7" x14ac:dyDescent="0.3">
      <c r="G2054"/>
    </row>
    <row r="2055" spans="7:7" x14ac:dyDescent="0.3">
      <c r="G2055"/>
    </row>
    <row r="2056" spans="7:7" x14ac:dyDescent="0.3">
      <c r="G2056"/>
    </row>
    <row r="2057" spans="7:7" x14ac:dyDescent="0.3">
      <c r="G2057"/>
    </row>
    <row r="2058" spans="7:7" x14ac:dyDescent="0.3">
      <c r="G2058"/>
    </row>
    <row r="2059" spans="7:7" x14ac:dyDescent="0.3">
      <c r="G2059"/>
    </row>
    <row r="2060" spans="7:7" x14ac:dyDescent="0.3">
      <c r="G2060"/>
    </row>
    <row r="2061" spans="7:7" x14ac:dyDescent="0.3">
      <c r="G2061"/>
    </row>
    <row r="2062" spans="7:7" x14ac:dyDescent="0.3">
      <c r="G2062"/>
    </row>
    <row r="2063" spans="7:7" x14ac:dyDescent="0.3">
      <c r="G2063"/>
    </row>
    <row r="2064" spans="7:7" x14ac:dyDescent="0.3">
      <c r="G2064"/>
    </row>
    <row r="2065" spans="7:7" x14ac:dyDescent="0.3">
      <c r="G2065"/>
    </row>
    <row r="2066" spans="7:7" x14ac:dyDescent="0.3">
      <c r="G2066"/>
    </row>
    <row r="2067" spans="7:7" x14ac:dyDescent="0.3">
      <c r="G2067"/>
    </row>
    <row r="2068" spans="7:7" x14ac:dyDescent="0.3">
      <c r="G2068"/>
    </row>
    <row r="2069" spans="7:7" x14ac:dyDescent="0.3">
      <c r="G2069"/>
    </row>
    <row r="2070" spans="7:7" x14ac:dyDescent="0.3">
      <c r="G2070"/>
    </row>
    <row r="2071" spans="7:7" x14ac:dyDescent="0.3">
      <c r="G2071"/>
    </row>
    <row r="2072" spans="7:7" x14ac:dyDescent="0.3">
      <c r="G2072"/>
    </row>
    <row r="2073" spans="7:7" x14ac:dyDescent="0.3">
      <c r="G2073"/>
    </row>
    <row r="2074" spans="7:7" x14ac:dyDescent="0.3">
      <c r="G2074"/>
    </row>
    <row r="2075" spans="7:7" x14ac:dyDescent="0.3">
      <c r="G2075"/>
    </row>
    <row r="2076" spans="7:7" x14ac:dyDescent="0.3">
      <c r="G2076"/>
    </row>
    <row r="2077" spans="7:7" x14ac:dyDescent="0.3">
      <c r="G2077"/>
    </row>
    <row r="2078" spans="7:7" x14ac:dyDescent="0.3">
      <c r="G2078"/>
    </row>
    <row r="2079" spans="7:7" x14ac:dyDescent="0.3">
      <c r="G2079"/>
    </row>
    <row r="2080" spans="7:7" x14ac:dyDescent="0.3">
      <c r="G2080"/>
    </row>
    <row r="2081" spans="7:7" x14ac:dyDescent="0.3">
      <c r="G2081"/>
    </row>
    <row r="2082" spans="7:7" x14ac:dyDescent="0.3">
      <c r="G2082"/>
    </row>
    <row r="2083" spans="7:7" x14ac:dyDescent="0.3">
      <c r="G2083"/>
    </row>
    <row r="2084" spans="7:7" x14ac:dyDescent="0.3">
      <c r="G2084"/>
    </row>
    <row r="2085" spans="7:7" x14ac:dyDescent="0.3">
      <c r="G2085"/>
    </row>
    <row r="2086" spans="7:7" x14ac:dyDescent="0.3">
      <c r="G2086"/>
    </row>
    <row r="2087" spans="7:7" x14ac:dyDescent="0.3">
      <c r="G2087"/>
    </row>
    <row r="2088" spans="7:7" x14ac:dyDescent="0.3">
      <c r="G2088"/>
    </row>
    <row r="2089" spans="7:7" x14ac:dyDescent="0.3">
      <c r="G2089"/>
    </row>
    <row r="2090" spans="7:7" x14ac:dyDescent="0.3">
      <c r="G2090"/>
    </row>
    <row r="2091" spans="7:7" x14ac:dyDescent="0.3">
      <c r="G2091"/>
    </row>
    <row r="2092" spans="7:7" x14ac:dyDescent="0.3">
      <c r="G2092"/>
    </row>
    <row r="2093" spans="7:7" x14ac:dyDescent="0.3">
      <c r="G2093"/>
    </row>
    <row r="2094" spans="7:7" x14ac:dyDescent="0.3">
      <c r="G2094"/>
    </row>
    <row r="2095" spans="7:7" x14ac:dyDescent="0.3">
      <c r="G2095"/>
    </row>
    <row r="2096" spans="7:7" x14ac:dyDescent="0.3">
      <c r="G2096"/>
    </row>
    <row r="2097" spans="7:7" x14ac:dyDescent="0.3">
      <c r="G2097"/>
    </row>
    <row r="2098" spans="7:7" x14ac:dyDescent="0.3">
      <c r="G2098"/>
    </row>
    <row r="2099" spans="7:7" x14ac:dyDescent="0.3">
      <c r="G2099"/>
    </row>
    <row r="2100" spans="7:7" x14ac:dyDescent="0.3">
      <c r="G2100"/>
    </row>
    <row r="2101" spans="7:7" x14ac:dyDescent="0.3">
      <c r="G2101"/>
    </row>
    <row r="2102" spans="7:7" x14ac:dyDescent="0.3">
      <c r="G2102"/>
    </row>
    <row r="2103" spans="7:7" x14ac:dyDescent="0.3">
      <c r="G2103"/>
    </row>
    <row r="2104" spans="7:7" x14ac:dyDescent="0.3">
      <c r="G2104"/>
    </row>
    <row r="2105" spans="7:7" x14ac:dyDescent="0.3">
      <c r="G2105"/>
    </row>
    <row r="2106" spans="7:7" x14ac:dyDescent="0.3">
      <c r="G2106"/>
    </row>
    <row r="2107" spans="7:7" x14ac:dyDescent="0.3">
      <c r="G2107"/>
    </row>
    <row r="2108" spans="7:7" x14ac:dyDescent="0.3">
      <c r="G2108"/>
    </row>
    <row r="2109" spans="7:7" x14ac:dyDescent="0.3">
      <c r="G2109"/>
    </row>
    <row r="2110" spans="7:7" x14ac:dyDescent="0.3">
      <c r="G2110"/>
    </row>
    <row r="2111" spans="7:7" x14ac:dyDescent="0.3">
      <c r="G2111"/>
    </row>
    <row r="2112" spans="7:7" x14ac:dyDescent="0.3">
      <c r="G2112"/>
    </row>
    <row r="2113" spans="7:7" x14ac:dyDescent="0.3">
      <c r="G2113"/>
    </row>
    <row r="2114" spans="7:7" x14ac:dyDescent="0.3">
      <c r="G2114"/>
    </row>
    <row r="2115" spans="7:7" x14ac:dyDescent="0.3">
      <c r="G2115"/>
    </row>
    <row r="2116" spans="7:7" x14ac:dyDescent="0.3">
      <c r="G2116"/>
    </row>
    <row r="2117" spans="7:7" x14ac:dyDescent="0.3">
      <c r="G2117"/>
    </row>
    <row r="2118" spans="7:7" x14ac:dyDescent="0.3">
      <c r="G2118"/>
    </row>
    <row r="2119" spans="7:7" x14ac:dyDescent="0.3">
      <c r="G2119"/>
    </row>
    <row r="2120" spans="7:7" x14ac:dyDescent="0.3">
      <c r="G2120"/>
    </row>
    <row r="2121" spans="7:7" x14ac:dyDescent="0.3">
      <c r="G2121"/>
    </row>
    <row r="2122" spans="7:7" x14ac:dyDescent="0.3">
      <c r="G2122"/>
    </row>
    <row r="2123" spans="7:7" x14ac:dyDescent="0.3">
      <c r="G2123"/>
    </row>
    <row r="2124" spans="7:7" x14ac:dyDescent="0.3">
      <c r="G2124"/>
    </row>
    <row r="2125" spans="7:7" x14ac:dyDescent="0.3">
      <c r="G2125"/>
    </row>
    <row r="2126" spans="7:7" x14ac:dyDescent="0.3">
      <c r="G2126"/>
    </row>
    <row r="2127" spans="7:7" x14ac:dyDescent="0.3">
      <c r="G2127"/>
    </row>
    <row r="2128" spans="7:7" x14ac:dyDescent="0.3">
      <c r="G2128"/>
    </row>
    <row r="2129" spans="7:7" x14ac:dyDescent="0.3">
      <c r="G2129"/>
    </row>
    <row r="2130" spans="7:7" x14ac:dyDescent="0.3">
      <c r="G2130"/>
    </row>
    <row r="2131" spans="7:7" x14ac:dyDescent="0.3">
      <c r="G2131"/>
    </row>
    <row r="2132" spans="7:7" x14ac:dyDescent="0.3">
      <c r="G2132"/>
    </row>
    <row r="2133" spans="7:7" x14ac:dyDescent="0.3">
      <c r="G2133"/>
    </row>
    <row r="2134" spans="7:7" x14ac:dyDescent="0.3">
      <c r="G2134"/>
    </row>
    <row r="2135" spans="7:7" x14ac:dyDescent="0.3">
      <c r="G2135"/>
    </row>
    <row r="2136" spans="7:7" x14ac:dyDescent="0.3">
      <c r="G2136"/>
    </row>
    <row r="2137" spans="7:7" x14ac:dyDescent="0.3">
      <c r="G2137"/>
    </row>
    <row r="2138" spans="7:7" x14ac:dyDescent="0.3">
      <c r="G2138"/>
    </row>
    <row r="2139" spans="7:7" x14ac:dyDescent="0.3">
      <c r="G2139"/>
    </row>
    <row r="2140" spans="7:7" x14ac:dyDescent="0.3">
      <c r="G2140"/>
    </row>
    <row r="2141" spans="7:7" x14ac:dyDescent="0.3">
      <c r="G2141"/>
    </row>
    <row r="2142" spans="7:7" x14ac:dyDescent="0.3">
      <c r="G2142"/>
    </row>
    <row r="2143" spans="7:7" x14ac:dyDescent="0.3">
      <c r="G2143"/>
    </row>
    <row r="2144" spans="7:7" x14ac:dyDescent="0.3">
      <c r="G2144"/>
    </row>
    <row r="2145" spans="7:7" x14ac:dyDescent="0.3">
      <c r="G2145"/>
    </row>
    <row r="2146" spans="7:7" x14ac:dyDescent="0.3">
      <c r="G2146"/>
    </row>
    <row r="2147" spans="7:7" x14ac:dyDescent="0.3">
      <c r="G2147"/>
    </row>
    <row r="2148" spans="7:7" x14ac:dyDescent="0.3">
      <c r="G2148"/>
    </row>
    <row r="2149" spans="7:7" x14ac:dyDescent="0.3">
      <c r="G2149"/>
    </row>
    <row r="2150" spans="7:7" x14ac:dyDescent="0.3">
      <c r="G2150"/>
    </row>
    <row r="2151" spans="7:7" x14ac:dyDescent="0.3">
      <c r="G2151"/>
    </row>
    <row r="2152" spans="7:7" x14ac:dyDescent="0.3">
      <c r="G2152"/>
    </row>
    <row r="2153" spans="7:7" x14ac:dyDescent="0.3">
      <c r="G2153"/>
    </row>
    <row r="2154" spans="7:7" x14ac:dyDescent="0.3">
      <c r="G2154"/>
    </row>
    <row r="2155" spans="7:7" x14ac:dyDescent="0.3">
      <c r="G2155"/>
    </row>
    <row r="2156" spans="7:7" x14ac:dyDescent="0.3">
      <c r="G2156"/>
    </row>
    <row r="2157" spans="7:7" x14ac:dyDescent="0.3">
      <c r="G2157"/>
    </row>
    <row r="2158" spans="7:7" x14ac:dyDescent="0.3">
      <c r="G2158"/>
    </row>
    <row r="2159" spans="7:7" x14ac:dyDescent="0.3">
      <c r="G2159"/>
    </row>
    <row r="2160" spans="7:7" x14ac:dyDescent="0.3">
      <c r="G2160"/>
    </row>
    <row r="2161" spans="7:7" x14ac:dyDescent="0.3">
      <c r="G2161"/>
    </row>
    <row r="2162" spans="7:7" x14ac:dyDescent="0.3">
      <c r="G2162"/>
    </row>
    <row r="2163" spans="7:7" x14ac:dyDescent="0.3">
      <c r="G2163"/>
    </row>
    <row r="2164" spans="7:7" x14ac:dyDescent="0.3">
      <c r="G2164"/>
    </row>
    <row r="2165" spans="7:7" x14ac:dyDescent="0.3">
      <c r="G2165"/>
    </row>
    <row r="2166" spans="7:7" x14ac:dyDescent="0.3">
      <c r="G2166"/>
    </row>
    <row r="2167" spans="7:7" x14ac:dyDescent="0.3">
      <c r="G2167"/>
    </row>
    <row r="2168" spans="7:7" x14ac:dyDescent="0.3">
      <c r="G2168"/>
    </row>
    <row r="2169" spans="7:7" x14ac:dyDescent="0.3">
      <c r="G2169"/>
    </row>
    <row r="2170" spans="7:7" x14ac:dyDescent="0.3">
      <c r="G2170"/>
    </row>
    <row r="2171" spans="7:7" x14ac:dyDescent="0.3">
      <c r="G2171"/>
    </row>
    <row r="2172" spans="7:7" x14ac:dyDescent="0.3">
      <c r="G2172"/>
    </row>
    <row r="2173" spans="7:7" x14ac:dyDescent="0.3">
      <c r="G2173"/>
    </row>
    <row r="2174" spans="7:7" x14ac:dyDescent="0.3">
      <c r="G2174"/>
    </row>
    <row r="2175" spans="7:7" x14ac:dyDescent="0.3">
      <c r="G2175"/>
    </row>
    <row r="2176" spans="7:7" x14ac:dyDescent="0.3">
      <c r="G2176"/>
    </row>
    <row r="2177" spans="7:7" x14ac:dyDescent="0.3">
      <c r="G2177"/>
    </row>
    <row r="2178" spans="7:7" x14ac:dyDescent="0.3">
      <c r="G2178"/>
    </row>
    <row r="2179" spans="7:7" x14ac:dyDescent="0.3">
      <c r="G2179"/>
    </row>
    <row r="2180" spans="7:7" x14ac:dyDescent="0.3">
      <c r="G2180"/>
    </row>
    <row r="2181" spans="7:7" x14ac:dyDescent="0.3">
      <c r="G2181"/>
    </row>
    <row r="2182" spans="7:7" x14ac:dyDescent="0.3">
      <c r="G2182"/>
    </row>
    <row r="2183" spans="7:7" x14ac:dyDescent="0.3">
      <c r="G2183"/>
    </row>
    <row r="2184" spans="7:7" x14ac:dyDescent="0.3">
      <c r="G2184"/>
    </row>
    <row r="2185" spans="7:7" x14ac:dyDescent="0.3">
      <c r="G2185"/>
    </row>
    <row r="2186" spans="7:7" x14ac:dyDescent="0.3">
      <c r="G2186"/>
    </row>
    <row r="2187" spans="7:7" x14ac:dyDescent="0.3">
      <c r="G2187"/>
    </row>
    <row r="2188" spans="7:7" x14ac:dyDescent="0.3">
      <c r="G2188"/>
    </row>
    <row r="2189" spans="7:7" x14ac:dyDescent="0.3">
      <c r="G2189"/>
    </row>
    <row r="2190" spans="7:7" x14ac:dyDescent="0.3">
      <c r="G2190"/>
    </row>
    <row r="2191" spans="7:7" x14ac:dyDescent="0.3">
      <c r="G2191"/>
    </row>
    <row r="2192" spans="7:7" x14ac:dyDescent="0.3">
      <c r="G2192"/>
    </row>
    <row r="2193" spans="7:7" x14ac:dyDescent="0.3">
      <c r="G2193"/>
    </row>
    <row r="2194" spans="7:7" x14ac:dyDescent="0.3">
      <c r="G2194"/>
    </row>
    <row r="2195" spans="7:7" x14ac:dyDescent="0.3">
      <c r="G2195"/>
    </row>
    <row r="2196" spans="7:7" x14ac:dyDescent="0.3">
      <c r="G2196"/>
    </row>
    <row r="2197" spans="7:7" x14ac:dyDescent="0.3">
      <c r="G2197"/>
    </row>
    <row r="2198" spans="7:7" x14ac:dyDescent="0.3">
      <c r="G2198"/>
    </row>
    <row r="2199" spans="7:7" x14ac:dyDescent="0.3">
      <c r="G2199"/>
    </row>
    <row r="2200" spans="7:7" x14ac:dyDescent="0.3">
      <c r="G2200"/>
    </row>
    <row r="2201" spans="7:7" x14ac:dyDescent="0.3">
      <c r="G2201"/>
    </row>
    <row r="2202" spans="7:7" x14ac:dyDescent="0.3">
      <c r="G2202"/>
    </row>
    <row r="2203" spans="7:7" x14ac:dyDescent="0.3">
      <c r="G2203"/>
    </row>
    <row r="2204" spans="7:7" x14ac:dyDescent="0.3">
      <c r="G2204"/>
    </row>
    <row r="2205" spans="7:7" x14ac:dyDescent="0.3">
      <c r="G2205"/>
    </row>
    <row r="2206" spans="7:7" x14ac:dyDescent="0.3">
      <c r="G2206"/>
    </row>
    <row r="2207" spans="7:7" x14ac:dyDescent="0.3">
      <c r="G2207"/>
    </row>
    <row r="2208" spans="7:7" x14ac:dyDescent="0.3">
      <c r="G2208"/>
    </row>
    <row r="2209" spans="7:7" x14ac:dyDescent="0.3">
      <c r="G2209"/>
    </row>
    <row r="2210" spans="7:7" x14ac:dyDescent="0.3">
      <c r="G2210"/>
    </row>
    <row r="2211" spans="7:7" x14ac:dyDescent="0.3">
      <c r="G2211"/>
    </row>
    <row r="2212" spans="7:7" x14ac:dyDescent="0.3">
      <c r="G2212"/>
    </row>
    <row r="2213" spans="7:7" x14ac:dyDescent="0.3">
      <c r="G2213"/>
    </row>
    <row r="2214" spans="7:7" x14ac:dyDescent="0.3">
      <c r="G2214"/>
    </row>
    <row r="2215" spans="7:7" x14ac:dyDescent="0.3">
      <c r="G2215"/>
    </row>
    <row r="2216" spans="7:7" x14ac:dyDescent="0.3">
      <c r="G2216"/>
    </row>
    <row r="2217" spans="7:7" x14ac:dyDescent="0.3">
      <c r="G2217"/>
    </row>
    <row r="2218" spans="7:7" x14ac:dyDescent="0.3">
      <c r="G2218"/>
    </row>
    <row r="2219" spans="7:7" x14ac:dyDescent="0.3">
      <c r="G2219"/>
    </row>
    <row r="2220" spans="7:7" x14ac:dyDescent="0.3">
      <c r="G2220"/>
    </row>
    <row r="2221" spans="7:7" x14ac:dyDescent="0.3">
      <c r="G2221"/>
    </row>
    <row r="2222" spans="7:7" x14ac:dyDescent="0.3">
      <c r="G2222"/>
    </row>
    <row r="2223" spans="7:7" x14ac:dyDescent="0.3">
      <c r="G2223"/>
    </row>
    <row r="2224" spans="7:7" x14ac:dyDescent="0.3">
      <c r="G2224"/>
    </row>
    <row r="2225" spans="7:7" x14ac:dyDescent="0.3">
      <c r="G2225"/>
    </row>
    <row r="2226" spans="7:7" x14ac:dyDescent="0.3">
      <c r="G2226"/>
    </row>
    <row r="2227" spans="7:7" x14ac:dyDescent="0.3">
      <c r="G2227"/>
    </row>
    <row r="2228" spans="7:7" x14ac:dyDescent="0.3">
      <c r="G2228"/>
    </row>
    <row r="2229" spans="7:7" x14ac:dyDescent="0.3">
      <c r="G2229"/>
    </row>
    <row r="2230" spans="7:7" x14ac:dyDescent="0.3">
      <c r="G2230"/>
    </row>
    <row r="2231" spans="7:7" x14ac:dyDescent="0.3">
      <c r="G2231"/>
    </row>
    <row r="2232" spans="7:7" x14ac:dyDescent="0.3">
      <c r="G2232"/>
    </row>
    <row r="2233" spans="7:7" x14ac:dyDescent="0.3">
      <c r="G2233"/>
    </row>
    <row r="2234" spans="7:7" x14ac:dyDescent="0.3">
      <c r="G2234"/>
    </row>
    <row r="2235" spans="7:7" x14ac:dyDescent="0.3">
      <c r="G2235"/>
    </row>
    <row r="2236" spans="7:7" x14ac:dyDescent="0.3">
      <c r="G2236"/>
    </row>
    <row r="2237" spans="7:7" x14ac:dyDescent="0.3">
      <c r="G2237"/>
    </row>
    <row r="2238" spans="7:7" x14ac:dyDescent="0.3">
      <c r="G2238"/>
    </row>
    <row r="2239" spans="7:7" x14ac:dyDescent="0.3">
      <c r="G2239"/>
    </row>
    <row r="2240" spans="7:7" x14ac:dyDescent="0.3">
      <c r="G2240"/>
    </row>
    <row r="2241" spans="7:7" x14ac:dyDescent="0.3">
      <c r="G2241"/>
    </row>
    <row r="2242" spans="7:7" x14ac:dyDescent="0.3">
      <c r="G2242"/>
    </row>
    <row r="2243" spans="7:7" x14ac:dyDescent="0.3">
      <c r="G2243"/>
    </row>
    <row r="2244" spans="7:7" x14ac:dyDescent="0.3">
      <c r="G2244"/>
    </row>
    <row r="2245" spans="7:7" x14ac:dyDescent="0.3">
      <c r="G2245"/>
    </row>
    <row r="2246" spans="7:7" x14ac:dyDescent="0.3">
      <c r="G2246"/>
    </row>
    <row r="2247" spans="7:7" x14ac:dyDescent="0.3">
      <c r="G2247"/>
    </row>
    <row r="2248" spans="7:7" x14ac:dyDescent="0.3">
      <c r="G2248"/>
    </row>
    <row r="2249" spans="7:7" x14ac:dyDescent="0.3">
      <c r="G2249"/>
    </row>
    <row r="2250" spans="7:7" x14ac:dyDescent="0.3">
      <c r="G2250"/>
    </row>
    <row r="2251" spans="7:7" x14ac:dyDescent="0.3">
      <c r="G2251"/>
    </row>
    <row r="2252" spans="7:7" x14ac:dyDescent="0.3">
      <c r="G2252"/>
    </row>
    <row r="2253" spans="7:7" x14ac:dyDescent="0.3">
      <c r="G2253"/>
    </row>
    <row r="2254" spans="7:7" x14ac:dyDescent="0.3">
      <c r="G2254"/>
    </row>
    <row r="2255" spans="7:7" x14ac:dyDescent="0.3">
      <c r="G2255"/>
    </row>
    <row r="2256" spans="7:7" x14ac:dyDescent="0.3">
      <c r="G2256"/>
    </row>
    <row r="2257" spans="7:7" x14ac:dyDescent="0.3">
      <c r="G2257"/>
    </row>
    <row r="2258" spans="7:7" x14ac:dyDescent="0.3">
      <c r="G2258"/>
    </row>
    <row r="2259" spans="7:7" x14ac:dyDescent="0.3">
      <c r="G2259"/>
    </row>
    <row r="2260" spans="7:7" x14ac:dyDescent="0.3">
      <c r="G2260"/>
    </row>
    <row r="2261" spans="7:7" x14ac:dyDescent="0.3">
      <c r="G2261"/>
    </row>
    <row r="2262" spans="7:7" x14ac:dyDescent="0.3">
      <c r="G2262"/>
    </row>
    <row r="2263" spans="7:7" x14ac:dyDescent="0.3">
      <c r="G2263"/>
    </row>
    <row r="2264" spans="7:7" x14ac:dyDescent="0.3">
      <c r="G2264"/>
    </row>
    <row r="2265" spans="7:7" x14ac:dyDescent="0.3">
      <c r="G2265"/>
    </row>
    <row r="2266" spans="7:7" x14ac:dyDescent="0.3">
      <c r="G2266"/>
    </row>
    <row r="2267" spans="7:7" x14ac:dyDescent="0.3">
      <c r="G2267"/>
    </row>
    <row r="2268" spans="7:7" x14ac:dyDescent="0.3">
      <c r="G2268"/>
    </row>
    <row r="2269" spans="7:7" x14ac:dyDescent="0.3">
      <c r="G2269"/>
    </row>
    <row r="2270" spans="7:7" x14ac:dyDescent="0.3">
      <c r="G2270"/>
    </row>
    <row r="2271" spans="7:7" x14ac:dyDescent="0.3">
      <c r="G2271"/>
    </row>
    <row r="2272" spans="7:7" x14ac:dyDescent="0.3">
      <c r="G2272"/>
    </row>
    <row r="2273" spans="7:7" x14ac:dyDescent="0.3">
      <c r="G2273"/>
    </row>
    <row r="2274" spans="7:7" x14ac:dyDescent="0.3">
      <c r="G2274"/>
    </row>
    <row r="2275" spans="7:7" x14ac:dyDescent="0.3">
      <c r="G2275"/>
    </row>
    <row r="2276" spans="7:7" x14ac:dyDescent="0.3">
      <c r="G2276"/>
    </row>
    <row r="2277" spans="7:7" x14ac:dyDescent="0.3">
      <c r="G2277"/>
    </row>
    <row r="2278" spans="7:7" x14ac:dyDescent="0.3">
      <c r="G2278"/>
    </row>
    <row r="2279" spans="7:7" x14ac:dyDescent="0.3">
      <c r="G2279"/>
    </row>
    <row r="2280" spans="7:7" x14ac:dyDescent="0.3">
      <c r="G2280"/>
    </row>
    <row r="2281" spans="7:7" x14ac:dyDescent="0.3">
      <c r="G2281"/>
    </row>
    <row r="2282" spans="7:7" x14ac:dyDescent="0.3">
      <c r="G2282"/>
    </row>
    <row r="2283" spans="7:7" x14ac:dyDescent="0.3">
      <c r="G2283"/>
    </row>
    <row r="2284" spans="7:7" x14ac:dyDescent="0.3">
      <c r="G2284"/>
    </row>
    <row r="2285" spans="7:7" x14ac:dyDescent="0.3">
      <c r="G2285"/>
    </row>
    <row r="2286" spans="7:7" x14ac:dyDescent="0.3">
      <c r="G2286"/>
    </row>
    <row r="2287" spans="7:7" x14ac:dyDescent="0.3">
      <c r="G2287"/>
    </row>
    <row r="2288" spans="7:7" x14ac:dyDescent="0.3">
      <c r="G2288"/>
    </row>
    <row r="2289" spans="7:7" x14ac:dyDescent="0.3">
      <c r="G2289"/>
    </row>
    <row r="2290" spans="7:7" x14ac:dyDescent="0.3">
      <c r="G2290"/>
    </row>
    <row r="2291" spans="7:7" x14ac:dyDescent="0.3">
      <c r="G2291"/>
    </row>
    <row r="2292" spans="7:7" x14ac:dyDescent="0.3">
      <c r="G2292"/>
    </row>
    <row r="2293" spans="7:7" x14ac:dyDescent="0.3">
      <c r="G2293"/>
    </row>
    <row r="2294" spans="7:7" x14ac:dyDescent="0.3">
      <c r="G2294"/>
    </row>
    <row r="2295" spans="7:7" x14ac:dyDescent="0.3">
      <c r="G2295"/>
    </row>
    <row r="2296" spans="7:7" x14ac:dyDescent="0.3">
      <c r="G2296"/>
    </row>
    <row r="2297" spans="7:7" x14ac:dyDescent="0.3">
      <c r="G2297"/>
    </row>
    <row r="2298" spans="7:7" x14ac:dyDescent="0.3">
      <c r="G2298"/>
    </row>
    <row r="2299" spans="7:7" x14ac:dyDescent="0.3">
      <c r="G2299"/>
    </row>
    <row r="2300" spans="7:7" x14ac:dyDescent="0.3">
      <c r="G2300"/>
    </row>
    <row r="2301" spans="7:7" x14ac:dyDescent="0.3">
      <c r="G2301"/>
    </row>
    <row r="2302" spans="7:7" x14ac:dyDescent="0.3">
      <c r="G2302"/>
    </row>
    <row r="2303" spans="7:7" x14ac:dyDescent="0.3">
      <c r="G2303"/>
    </row>
    <row r="2304" spans="7:7" x14ac:dyDescent="0.3">
      <c r="G2304"/>
    </row>
    <row r="2305" spans="7:7" x14ac:dyDescent="0.3">
      <c r="G2305"/>
    </row>
    <row r="2306" spans="7:7" x14ac:dyDescent="0.3">
      <c r="G2306"/>
    </row>
    <row r="2307" spans="7:7" x14ac:dyDescent="0.3">
      <c r="G2307"/>
    </row>
    <row r="2308" spans="7:7" x14ac:dyDescent="0.3">
      <c r="G2308"/>
    </row>
    <row r="2309" spans="7:7" x14ac:dyDescent="0.3">
      <c r="G2309"/>
    </row>
    <row r="2310" spans="7:7" x14ac:dyDescent="0.3">
      <c r="G2310"/>
    </row>
    <row r="2311" spans="7:7" x14ac:dyDescent="0.3">
      <c r="G2311"/>
    </row>
    <row r="2312" spans="7:7" x14ac:dyDescent="0.3">
      <c r="G2312"/>
    </row>
    <row r="2313" spans="7:7" x14ac:dyDescent="0.3">
      <c r="G2313"/>
    </row>
    <row r="2314" spans="7:7" x14ac:dyDescent="0.3">
      <c r="G2314"/>
    </row>
    <row r="2315" spans="7:7" x14ac:dyDescent="0.3">
      <c r="G2315"/>
    </row>
    <row r="2316" spans="7:7" x14ac:dyDescent="0.3">
      <c r="G2316"/>
    </row>
    <row r="2317" spans="7:7" x14ac:dyDescent="0.3">
      <c r="G2317"/>
    </row>
    <row r="2318" spans="7:7" x14ac:dyDescent="0.3">
      <c r="G2318"/>
    </row>
    <row r="2319" spans="7:7" x14ac:dyDescent="0.3">
      <c r="G2319"/>
    </row>
    <row r="2320" spans="7:7" x14ac:dyDescent="0.3">
      <c r="G2320"/>
    </row>
    <row r="2321" spans="7:7" x14ac:dyDescent="0.3">
      <c r="G2321"/>
    </row>
    <row r="2322" spans="7:7" x14ac:dyDescent="0.3">
      <c r="G2322"/>
    </row>
    <row r="2323" spans="7:7" x14ac:dyDescent="0.3">
      <c r="G2323"/>
    </row>
    <row r="2324" spans="7:7" x14ac:dyDescent="0.3">
      <c r="G2324"/>
    </row>
    <row r="2325" spans="7:7" x14ac:dyDescent="0.3">
      <c r="G2325"/>
    </row>
    <row r="2326" spans="7:7" x14ac:dyDescent="0.3">
      <c r="G2326"/>
    </row>
    <row r="2327" spans="7:7" x14ac:dyDescent="0.3">
      <c r="G2327"/>
    </row>
    <row r="2328" spans="7:7" x14ac:dyDescent="0.3">
      <c r="G2328"/>
    </row>
    <row r="2329" spans="7:7" x14ac:dyDescent="0.3">
      <c r="G2329"/>
    </row>
    <row r="2330" spans="7:7" x14ac:dyDescent="0.3">
      <c r="G2330"/>
    </row>
    <row r="2331" spans="7:7" x14ac:dyDescent="0.3">
      <c r="G2331"/>
    </row>
    <row r="2332" spans="7:7" x14ac:dyDescent="0.3">
      <c r="G2332"/>
    </row>
    <row r="2333" spans="7:7" x14ac:dyDescent="0.3">
      <c r="G2333"/>
    </row>
    <row r="2334" spans="7:7" x14ac:dyDescent="0.3">
      <c r="G2334"/>
    </row>
    <row r="2335" spans="7:7" x14ac:dyDescent="0.3">
      <c r="G2335"/>
    </row>
    <row r="2336" spans="7:7" x14ac:dyDescent="0.3">
      <c r="G2336"/>
    </row>
    <row r="2337" spans="7:7" x14ac:dyDescent="0.3">
      <c r="G2337"/>
    </row>
    <row r="2338" spans="7:7" x14ac:dyDescent="0.3">
      <c r="G2338"/>
    </row>
    <row r="2339" spans="7:7" x14ac:dyDescent="0.3">
      <c r="G2339"/>
    </row>
    <row r="2340" spans="7:7" x14ac:dyDescent="0.3">
      <c r="G2340"/>
    </row>
    <row r="2341" spans="7:7" x14ac:dyDescent="0.3">
      <c r="G2341"/>
    </row>
    <row r="2342" spans="7:7" x14ac:dyDescent="0.3">
      <c r="G2342"/>
    </row>
    <row r="2343" spans="7:7" x14ac:dyDescent="0.3">
      <c r="G2343"/>
    </row>
    <row r="2344" spans="7:7" x14ac:dyDescent="0.3">
      <c r="G2344"/>
    </row>
    <row r="2345" spans="7:7" x14ac:dyDescent="0.3">
      <c r="G2345"/>
    </row>
    <row r="2346" spans="7:7" x14ac:dyDescent="0.3">
      <c r="G2346"/>
    </row>
    <row r="2347" spans="7:7" x14ac:dyDescent="0.3">
      <c r="G2347"/>
    </row>
    <row r="2348" spans="7:7" x14ac:dyDescent="0.3">
      <c r="G2348"/>
    </row>
    <row r="2349" spans="7:7" x14ac:dyDescent="0.3">
      <c r="G2349"/>
    </row>
    <row r="2350" spans="7:7" x14ac:dyDescent="0.3">
      <c r="G2350"/>
    </row>
    <row r="2351" spans="7:7" x14ac:dyDescent="0.3">
      <c r="G2351"/>
    </row>
    <row r="2352" spans="7:7" x14ac:dyDescent="0.3">
      <c r="G2352"/>
    </row>
    <row r="2353" spans="7:7" x14ac:dyDescent="0.3">
      <c r="G2353"/>
    </row>
    <row r="2354" spans="7:7" x14ac:dyDescent="0.3">
      <c r="G2354"/>
    </row>
    <row r="2355" spans="7:7" x14ac:dyDescent="0.3">
      <c r="G2355"/>
    </row>
    <row r="2356" spans="7:7" x14ac:dyDescent="0.3">
      <c r="G2356"/>
    </row>
    <row r="2357" spans="7:7" x14ac:dyDescent="0.3">
      <c r="G2357"/>
    </row>
    <row r="2358" spans="7:7" x14ac:dyDescent="0.3">
      <c r="G2358"/>
    </row>
    <row r="2359" spans="7:7" x14ac:dyDescent="0.3">
      <c r="G2359"/>
    </row>
    <row r="2360" spans="7:7" x14ac:dyDescent="0.3">
      <c r="G2360"/>
    </row>
    <row r="2361" spans="7:7" x14ac:dyDescent="0.3">
      <c r="G2361"/>
    </row>
    <row r="2362" spans="7:7" x14ac:dyDescent="0.3">
      <c r="G2362"/>
    </row>
    <row r="2363" spans="7:7" x14ac:dyDescent="0.3">
      <c r="G2363"/>
    </row>
    <row r="2364" spans="7:7" x14ac:dyDescent="0.3">
      <c r="G2364"/>
    </row>
    <row r="2365" spans="7:7" x14ac:dyDescent="0.3">
      <c r="G2365"/>
    </row>
    <row r="2366" spans="7:7" x14ac:dyDescent="0.3">
      <c r="G2366"/>
    </row>
    <row r="2367" spans="7:7" x14ac:dyDescent="0.3">
      <c r="G2367"/>
    </row>
    <row r="2368" spans="7:7" x14ac:dyDescent="0.3">
      <c r="G2368"/>
    </row>
    <row r="2369" spans="7:7" x14ac:dyDescent="0.3">
      <c r="G2369"/>
    </row>
    <row r="2370" spans="7:7" x14ac:dyDescent="0.3">
      <c r="G2370"/>
    </row>
    <row r="2371" spans="7:7" x14ac:dyDescent="0.3">
      <c r="G2371"/>
    </row>
    <row r="2372" spans="7:7" x14ac:dyDescent="0.3">
      <c r="G2372"/>
    </row>
    <row r="2373" spans="7:7" x14ac:dyDescent="0.3">
      <c r="G2373"/>
    </row>
    <row r="2374" spans="7:7" x14ac:dyDescent="0.3">
      <c r="G2374"/>
    </row>
    <row r="2375" spans="7:7" x14ac:dyDescent="0.3">
      <c r="G2375"/>
    </row>
    <row r="2376" spans="7:7" x14ac:dyDescent="0.3">
      <c r="G2376"/>
    </row>
    <row r="2377" spans="7:7" x14ac:dyDescent="0.3">
      <c r="G2377"/>
    </row>
    <row r="2378" spans="7:7" x14ac:dyDescent="0.3">
      <c r="G2378"/>
    </row>
    <row r="2379" spans="7:7" x14ac:dyDescent="0.3">
      <c r="G2379"/>
    </row>
    <row r="2380" spans="7:7" x14ac:dyDescent="0.3">
      <c r="G2380"/>
    </row>
    <row r="2381" spans="7:7" x14ac:dyDescent="0.3">
      <c r="G2381"/>
    </row>
    <row r="2382" spans="7:7" x14ac:dyDescent="0.3">
      <c r="G2382"/>
    </row>
    <row r="2383" spans="7:7" x14ac:dyDescent="0.3">
      <c r="G2383"/>
    </row>
    <row r="2384" spans="7:7" x14ac:dyDescent="0.3">
      <c r="G2384"/>
    </row>
    <row r="2385" spans="7:7" x14ac:dyDescent="0.3">
      <c r="G2385"/>
    </row>
    <row r="2386" spans="7:7" x14ac:dyDescent="0.3">
      <c r="G2386"/>
    </row>
    <row r="2387" spans="7:7" x14ac:dyDescent="0.3">
      <c r="G2387"/>
    </row>
    <row r="2388" spans="7:7" x14ac:dyDescent="0.3">
      <c r="G2388"/>
    </row>
    <row r="2389" spans="7:7" x14ac:dyDescent="0.3">
      <c r="G2389"/>
    </row>
    <row r="2390" spans="7:7" x14ac:dyDescent="0.3">
      <c r="G2390"/>
    </row>
    <row r="2391" spans="7:7" x14ac:dyDescent="0.3">
      <c r="G2391"/>
    </row>
    <row r="2392" spans="7:7" x14ac:dyDescent="0.3">
      <c r="G2392"/>
    </row>
    <row r="2393" spans="7:7" x14ac:dyDescent="0.3">
      <c r="G2393"/>
    </row>
    <row r="2394" spans="7:7" x14ac:dyDescent="0.3">
      <c r="G2394"/>
    </row>
    <row r="2395" spans="7:7" x14ac:dyDescent="0.3">
      <c r="G2395"/>
    </row>
    <row r="2396" spans="7:7" x14ac:dyDescent="0.3">
      <c r="G2396"/>
    </row>
    <row r="2397" spans="7:7" x14ac:dyDescent="0.3">
      <c r="G2397"/>
    </row>
    <row r="2398" spans="7:7" x14ac:dyDescent="0.3">
      <c r="G2398"/>
    </row>
    <row r="2399" spans="7:7" x14ac:dyDescent="0.3">
      <c r="G2399"/>
    </row>
    <row r="2400" spans="7:7" x14ac:dyDescent="0.3">
      <c r="G2400"/>
    </row>
    <row r="2401" spans="7:7" x14ac:dyDescent="0.3">
      <c r="G2401"/>
    </row>
    <row r="2402" spans="7:7" x14ac:dyDescent="0.3">
      <c r="G2402"/>
    </row>
    <row r="2403" spans="7:7" x14ac:dyDescent="0.3">
      <c r="G2403"/>
    </row>
    <row r="2404" spans="7:7" x14ac:dyDescent="0.3">
      <c r="G2404"/>
    </row>
    <row r="2405" spans="7:7" x14ac:dyDescent="0.3">
      <c r="G2405"/>
    </row>
    <row r="2406" spans="7:7" x14ac:dyDescent="0.3">
      <c r="G2406"/>
    </row>
    <row r="2407" spans="7:7" x14ac:dyDescent="0.3">
      <c r="G2407"/>
    </row>
    <row r="2408" spans="7:7" x14ac:dyDescent="0.3">
      <c r="G2408"/>
    </row>
    <row r="2409" spans="7:7" x14ac:dyDescent="0.3">
      <c r="G2409"/>
    </row>
    <row r="2410" spans="7:7" x14ac:dyDescent="0.3">
      <c r="G2410"/>
    </row>
    <row r="2411" spans="7:7" x14ac:dyDescent="0.3">
      <c r="G2411"/>
    </row>
    <row r="2412" spans="7:7" x14ac:dyDescent="0.3">
      <c r="G2412"/>
    </row>
    <row r="2413" spans="7:7" x14ac:dyDescent="0.3">
      <c r="G2413"/>
    </row>
    <row r="2414" spans="7:7" x14ac:dyDescent="0.3">
      <c r="G2414"/>
    </row>
    <row r="2415" spans="7:7" x14ac:dyDescent="0.3">
      <c r="G2415"/>
    </row>
    <row r="2416" spans="7:7" x14ac:dyDescent="0.3">
      <c r="G2416"/>
    </row>
    <row r="2417" spans="7:7" x14ac:dyDescent="0.3">
      <c r="G2417"/>
    </row>
    <row r="2418" spans="7:7" x14ac:dyDescent="0.3">
      <c r="G2418"/>
    </row>
    <row r="2419" spans="7:7" x14ac:dyDescent="0.3">
      <c r="G2419"/>
    </row>
    <row r="2420" spans="7:7" x14ac:dyDescent="0.3">
      <c r="G2420"/>
    </row>
    <row r="2421" spans="7:7" x14ac:dyDescent="0.3">
      <c r="G2421"/>
    </row>
    <row r="2422" spans="7:7" x14ac:dyDescent="0.3">
      <c r="G2422"/>
    </row>
    <row r="2423" spans="7:7" x14ac:dyDescent="0.3">
      <c r="G2423"/>
    </row>
    <row r="2424" spans="7:7" x14ac:dyDescent="0.3">
      <c r="G2424"/>
    </row>
    <row r="2425" spans="7:7" x14ac:dyDescent="0.3">
      <c r="G2425"/>
    </row>
    <row r="2426" spans="7:7" x14ac:dyDescent="0.3">
      <c r="G2426"/>
    </row>
    <row r="2427" spans="7:7" x14ac:dyDescent="0.3">
      <c r="G2427"/>
    </row>
    <row r="2428" spans="7:7" x14ac:dyDescent="0.3">
      <c r="G2428"/>
    </row>
    <row r="2429" spans="7:7" x14ac:dyDescent="0.3">
      <c r="G2429"/>
    </row>
    <row r="2430" spans="7:7" x14ac:dyDescent="0.3">
      <c r="G2430"/>
    </row>
    <row r="2431" spans="7:7" x14ac:dyDescent="0.3">
      <c r="G2431"/>
    </row>
    <row r="2432" spans="7:7" x14ac:dyDescent="0.3">
      <c r="G2432"/>
    </row>
    <row r="2433" spans="7:7" x14ac:dyDescent="0.3">
      <c r="G2433"/>
    </row>
    <row r="2434" spans="7:7" x14ac:dyDescent="0.3">
      <c r="G2434"/>
    </row>
    <row r="2435" spans="7:7" x14ac:dyDescent="0.3">
      <c r="G2435"/>
    </row>
    <row r="2436" spans="7:7" x14ac:dyDescent="0.3">
      <c r="G2436"/>
    </row>
    <row r="2437" spans="7:7" x14ac:dyDescent="0.3">
      <c r="G2437"/>
    </row>
    <row r="2438" spans="7:7" x14ac:dyDescent="0.3">
      <c r="G2438"/>
    </row>
    <row r="2439" spans="7:7" x14ac:dyDescent="0.3">
      <c r="G2439"/>
    </row>
    <row r="2440" spans="7:7" x14ac:dyDescent="0.3">
      <c r="G2440"/>
    </row>
    <row r="2441" spans="7:7" x14ac:dyDescent="0.3">
      <c r="G2441"/>
    </row>
    <row r="2442" spans="7:7" x14ac:dyDescent="0.3">
      <c r="G2442"/>
    </row>
    <row r="2443" spans="7:7" x14ac:dyDescent="0.3">
      <c r="G2443"/>
    </row>
    <row r="2444" spans="7:7" x14ac:dyDescent="0.3">
      <c r="G2444"/>
    </row>
    <row r="2445" spans="7:7" x14ac:dyDescent="0.3">
      <c r="G2445"/>
    </row>
    <row r="2446" spans="7:7" x14ac:dyDescent="0.3">
      <c r="G2446"/>
    </row>
    <row r="2447" spans="7:7" x14ac:dyDescent="0.3">
      <c r="G2447"/>
    </row>
    <row r="2448" spans="7:7" x14ac:dyDescent="0.3">
      <c r="G2448"/>
    </row>
    <row r="2449" spans="7:7" x14ac:dyDescent="0.3">
      <c r="G2449"/>
    </row>
    <row r="2450" spans="7:7" x14ac:dyDescent="0.3">
      <c r="G2450"/>
    </row>
    <row r="2451" spans="7:7" x14ac:dyDescent="0.3">
      <c r="G2451"/>
    </row>
    <row r="2452" spans="7:7" x14ac:dyDescent="0.3">
      <c r="G2452"/>
    </row>
    <row r="2453" spans="7:7" x14ac:dyDescent="0.3">
      <c r="G2453"/>
    </row>
    <row r="2454" spans="7:7" x14ac:dyDescent="0.3">
      <c r="G2454"/>
    </row>
    <row r="2455" spans="7:7" x14ac:dyDescent="0.3">
      <c r="G2455"/>
    </row>
    <row r="2456" spans="7:7" x14ac:dyDescent="0.3">
      <c r="G2456"/>
    </row>
    <row r="2457" spans="7:7" x14ac:dyDescent="0.3">
      <c r="G2457"/>
    </row>
    <row r="2458" spans="7:7" x14ac:dyDescent="0.3">
      <c r="G2458"/>
    </row>
    <row r="2459" spans="7:7" x14ac:dyDescent="0.3">
      <c r="G2459"/>
    </row>
    <row r="2460" spans="7:7" x14ac:dyDescent="0.3">
      <c r="G2460"/>
    </row>
    <row r="2461" spans="7:7" x14ac:dyDescent="0.3">
      <c r="G2461"/>
    </row>
    <row r="2462" spans="7:7" x14ac:dyDescent="0.3">
      <c r="G2462"/>
    </row>
    <row r="2463" spans="7:7" x14ac:dyDescent="0.3">
      <c r="G2463"/>
    </row>
    <row r="2464" spans="7:7" x14ac:dyDescent="0.3">
      <c r="G2464"/>
    </row>
    <row r="2465" spans="7:7" x14ac:dyDescent="0.3">
      <c r="G2465"/>
    </row>
    <row r="2466" spans="7:7" x14ac:dyDescent="0.3">
      <c r="G2466"/>
    </row>
    <row r="2467" spans="7:7" x14ac:dyDescent="0.3">
      <c r="G2467"/>
    </row>
    <row r="2468" spans="7:7" x14ac:dyDescent="0.3">
      <c r="G2468"/>
    </row>
    <row r="2469" spans="7:7" x14ac:dyDescent="0.3">
      <c r="G2469"/>
    </row>
    <row r="2470" spans="7:7" x14ac:dyDescent="0.3">
      <c r="G2470"/>
    </row>
    <row r="2471" spans="7:7" x14ac:dyDescent="0.3">
      <c r="G2471"/>
    </row>
    <row r="2472" spans="7:7" x14ac:dyDescent="0.3">
      <c r="G2472"/>
    </row>
    <row r="2473" spans="7:7" x14ac:dyDescent="0.3">
      <c r="G2473"/>
    </row>
    <row r="2474" spans="7:7" x14ac:dyDescent="0.3">
      <c r="G2474"/>
    </row>
    <row r="2475" spans="7:7" x14ac:dyDescent="0.3">
      <c r="G2475"/>
    </row>
    <row r="2476" spans="7:7" x14ac:dyDescent="0.3">
      <c r="G2476"/>
    </row>
    <row r="2477" spans="7:7" x14ac:dyDescent="0.3">
      <c r="G2477"/>
    </row>
    <row r="2478" spans="7:7" x14ac:dyDescent="0.3">
      <c r="G2478"/>
    </row>
    <row r="2479" spans="7:7" x14ac:dyDescent="0.3">
      <c r="G2479"/>
    </row>
    <row r="2480" spans="7:7" x14ac:dyDescent="0.3">
      <c r="G2480"/>
    </row>
    <row r="2481" spans="7:7" x14ac:dyDescent="0.3">
      <c r="G2481"/>
    </row>
    <row r="2482" spans="7:7" x14ac:dyDescent="0.3">
      <c r="G2482"/>
    </row>
    <row r="2483" spans="7:7" x14ac:dyDescent="0.3">
      <c r="G2483"/>
    </row>
    <row r="2484" spans="7:7" x14ac:dyDescent="0.3">
      <c r="G2484"/>
    </row>
    <row r="2485" spans="7:7" x14ac:dyDescent="0.3">
      <c r="G2485"/>
    </row>
    <row r="2486" spans="7:7" x14ac:dyDescent="0.3">
      <c r="G2486"/>
    </row>
    <row r="2487" spans="7:7" x14ac:dyDescent="0.3">
      <c r="G2487"/>
    </row>
    <row r="2488" spans="7:7" x14ac:dyDescent="0.3">
      <c r="G2488"/>
    </row>
    <row r="2489" spans="7:7" x14ac:dyDescent="0.3">
      <c r="G2489"/>
    </row>
    <row r="2490" spans="7:7" x14ac:dyDescent="0.3">
      <c r="G2490"/>
    </row>
    <row r="2491" spans="7:7" x14ac:dyDescent="0.3">
      <c r="G2491"/>
    </row>
    <row r="2492" spans="7:7" x14ac:dyDescent="0.3">
      <c r="G2492"/>
    </row>
    <row r="2493" spans="7:7" x14ac:dyDescent="0.3">
      <c r="G2493"/>
    </row>
    <row r="2494" spans="7:7" x14ac:dyDescent="0.3">
      <c r="G2494"/>
    </row>
    <row r="2495" spans="7:7" x14ac:dyDescent="0.3">
      <c r="G2495"/>
    </row>
    <row r="2496" spans="7:7" x14ac:dyDescent="0.3">
      <c r="G2496"/>
    </row>
    <row r="2497" spans="7:7" x14ac:dyDescent="0.3">
      <c r="G2497"/>
    </row>
    <row r="2498" spans="7:7" x14ac:dyDescent="0.3">
      <c r="G2498"/>
    </row>
    <row r="2499" spans="7:7" x14ac:dyDescent="0.3">
      <c r="G2499"/>
    </row>
    <row r="2500" spans="7:7" x14ac:dyDescent="0.3">
      <c r="G2500"/>
    </row>
    <row r="2501" spans="7:7" x14ac:dyDescent="0.3">
      <c r="G2501"/>
    </row>
    <row r="2502" spans="7:7" x14ac:dyDescent="0.3">
      <c r="G2502"/>
    </row>
    <row r="2503" spans="7:7" x14ac:dyDescent="0.3">
      <c r="G2503"/>
    </row>
    <row r="2504" spans="7:7" x14ac:dyDescent="0.3">
      <c r="G2504"/>
    </row>
    <row r="2505" spans="7:7" x14ac:dyDescent="0.3">
      <c r="G2505"/>
    </row>
    <row r="2506" spans="7:7" x14ac:dyDescent="0.3">
      <c r="G2506"/>
    </row>
    <row r="2507" spans="7:7" x14ac:dyDescent="0.3">
      <c r="G2507"/>
    </row>
    <row r="2508" spans="7:7" x14ac:dyDescent="0.3">
      <c r="G2508"/>
    </row>
    <row r="2509" spans="7:7" x14ac:dyDescent="0.3">
      <c r="G2509"/>
    </row>
    <row r="2510" spans="7:7" x14ac:dyDescent="0.3">
      <c r="G2510"/>
    </row>
    <row r="2511" spans="7:7" x14ac:dyDescent="0.3">
      <c r="G2511"/>
    </row>
    <row r="2512" spans="7:7" x14ac:dyDescent="0.3">
      <c r="G2512"/>
    </row>
    <row r="2513" spans="7:7" x14ac:dyDescent="0.3">
      <c r="G2513"/>
    </row>
    <row r="2514" spans="7:7" x14ac:dyDescent="0.3">
      <c r="G2514"/>
    </row>
    <row r="2515" spans="7:7" x14ac:dyDescent="0.3">
      <c r="G2515"/>
    </row>
    <row r="2516" spans="7:7" x14ac:dyDescent="0.3">
      <c r="G2516"/>
    </row>
    <row r="2517" spans="7:7" x14ac:dyDescent="0.3">
      <c r="G2517"/>
    </row>
    <row r="2518" spans="7:7" x14ac:dyDescent="0.3">
      <c r="G2518"/>
    </row>
    <row r="2519" spans="7:7" x14ac:dyDescent="0.3">
      <c r="G2519"/>
    </row>
    <row r="2520" spans="7:7" x14ac:dyDescent="0.3">
      <c r="G2520"/>
    </row>
    <row r="2521" spans="7:7" x14ac:dyDescent="0.3">
      <c r="G2521"/>
    </row>
    <row r="2522" spans="7:7" x14ac:dyDescent="0.3">
      <c r="G2522"/>
    </row>
    <row r="2523" spans="7:7" x14ac:dyDescent="0.3">
      <c r="G2523"/>
    </row>
    <row r="2524" spans="7:7" x14ac:dyDescent="0.3">
      <c r="G2524"/>
    </row>
    <row r="2525" spans="7:7" x14ac:dyDescent="0.3">
      <c r="G2525"/>
    </row>
    <row r="2526" spans="7:7" x14ac:dyDescent="0.3">
      <c r="G2526"/>
    </row>
    <row r="2527" spans="7:7" x14ac:dyDescent="0.3">
      <c r="G2527"/>
    </row>
    <row r="2528" spans="7:7" x14ac:dyDescent="0.3">
      <c r="G2528"/>
    </row>
    <row r="2529" spans="7:7" x14ac:dyDescent="0.3">
      <c r="G2529"/>
    </row>
    <row r="2530" spans="7:7" x14ac:dyDescent="0.3">
      <c r="G2530"/>
    </row>
    <row r="2531" spans="7:7" x14ac:dyDescent="0.3">
      <c r="G2531"/>
    </row>
    <row r="2532" spans="7:7" x14ac:dyDescent="0.3">
      <c r="G2532"/>
    </row>
    <row r="2533" spans="7:7" x14ac:dyDescent="0.3">
      <c r="G2533"/>
    </row>
    <row r="2534" spans="7:7" x14ac:dyDescent="0.3">
      <c r="G2534"/>
    </row>
    <row r="2535" spans="7:7" x14ac:dyDescent="0.3">
      <c r="G2535"/>
    </row>
    <row r="2536" spans="7:7" x14ac:dyDescent="0.3">
      <c r="G2536"/>
    </row>
    <row r="2537" spans="7:7" x14ac:dyDescent="0.3">
      <c r="G2537"/>
    </row>
    <row r="2538" spans="7:7" x14ac:dyDescent="0.3">
      <c r="G2538"/>
    </row>
    <row r="2539" spans="7:7" x14ac:dyDescent="0.3">
      <c r="G2539"/>
    </row>
    <row r="2540" spans="7:7" x14ac:dyDescent="0.3">
      <c r="G2540"/>
    </row>
    <row r="2541" spans="7:7" x14ac:dyDescent="0.3">
      <c r="G2541"/>
    </row>
    <row r="2542" spans="7:7" x14ac:dyDescent="0.3">
      <c r="G2542"/>
    </row>
    <row r="2543" spans="7:7" x14ac:dyDescent="0.3">
      <c r="G2543"/>
    </row>
    <row r="2544" spans="7:7" x14ac:dyDescent="0.3">
      <c r="G2544"/>
    </row>
    <row r="2545" spans="7:7" x14ac:dyDescent="0.3">
      <c r="G2545"/>
    </row>
    <row r="2546" spans="7:7" x14ac:dyDescent="0.3">
      <c r="G2546"/>
    </row>
    <row r="2547" spans="7:7" x14ac:dyDescent="0.3">
      <c r="G2547"/>
    </row>
    <row r="2548" spans="7:7" x14ac:dyDescent="0.3">
      <c r="G2548"/>
    </row>
    <row r="2549" spans="7:7" x14ac:dyDescent="0.3">
      <c r="G2549"/>
    </row>
    <row r="2550" spans="7:7" x14ac:dyDescent="0.3">
      <c r="G2550"/>
    </row>
    <row r="2551" spans="7:7" x14ac:dyDescent="0.3">
      <c r="G2551"/>
    </row>
    <row r="2552" spans="7:7" x14ac:dyDescent="0.3">
      <c r="G2552"/>
    </row>
    <row r="2553" spans="7:7" x14ac:dyDescent="0.3">
      <c r="G2553"/>
    </row>
    <row r="2554" spans="7:7" x14ac:dyDescent="0.3">
      <c r="G2554"/>
    </row>
    <row r="2555" spans="7:7" x14ac:dyDescent="0.3">
      <c r="G2555"/>
    </row>
    <row r="2556" spans="7:7" x14ac:dyDescent="0.3">
      <c r="G2556"/>
    </row>
    <row r="2557" spans="7:7" x14ac:dyDescent="0.3">
      <c r="G2557"/>
    </row>
    <row r="2558" spans="7:7" x14ac:dyDescent="0.3">
      <c r="G2558"/>
    </row>
    <row r="2559" spans="7:7" x14ac:dyDescent="0.3">
      <c r="G2559"/>
    </row>
    <row r="2560" spans="7:7" x14ac:dyDescent="0.3">
      <c r="G2560"/>
    </row>
    <row r="2561" spans="7:7" x14ac:dyDescent="0.3">
      <c r="G2561"/>
    </row>
    <row r="2562" spans="7:7" x14ac:dyDescent="0.3">
      <c r="G2562"/>
    </row>
    <row r="2563" spans="7:7" x14ac:dyDescent="0.3">
      <c r="G2563"/>
    </row>
    <row r="2564" spans="7:7" x14ac:dyDescent="0.3">
      <c r="G2564"/>
    </row>
    <row r="2565" spans="7:7" x14ac:dyDescent="0.3">
      <c r="G2565"/>
    </row>
    <row r="2566" spans="7:7" x14ac:dyDescent="0.3">
      <c r="G2566"/>
    </row>
    <row r="2567" spans="7:7" x14ac:dyDescent="0.3">
      <c r="G2567"/>
    </row>
    <row r="2568" spans="7:7" x14ac:dyDescent="0.3">
      <c r="G2568"/>
    </row>
    <row r="2569" spans="7:7" x14ac:dyDescent="0.3">
      <c r="G2569"/>
    </row>
    <row r="2570" spans="7:7" x14ac:dyDescent="0.3">
      <c r="G2570"/>
    </row>
    <row r="2571" spans="7:7" x14ac:dyDescent="0.3">
      <c r="G2571"/>
    </row>
    <row r="2572" spans="7:7" x14ac:dyDescent="0.3">
      <c r="G2572"/>
    </row>
    <row r="2573" spans="7:7" x14ac:dyDescent="0.3">
      <c r="G2573"/>
    </row>
    <row r="2574" spans="7:7" x14ac:dyDescent="0.3">
      <c r="G2574"/>
    </row>
    <row r="2575" spans="7:7" x14ac:dyDescent="0.3">
      <c r="G2575"/>
    </row>
    <row r="2576" spans="7:7" x14ac:dyDescent="0.3">
      <c r="G2576"/>
    </row>
    <row r="2577" spans="7:7" x14ac:dyDescent="0.3">
      <c r="G2577"/>
    </row>
    <row r="2578" spans="7:7" x14ac:dyDescent="0.3">
      <c r="G2578"/>
    </row>
    <row r="2579" spans="7:7" x14ac:dyDescent="0.3">
      <c r="G2579"/>
    </row>
    <row r="2580" spans="7:7" x14ac:dyDescent="0.3">
      <c r="G2580"/>
    </row>
    <row r="2581" spans="7:7" x14ac:dyDescent="0.3">
      <c r="G2581"/>
    </row>
    <row r="2582" spans="7:7" x14ac:dyDescent="0.3">
      <c r="G2582"/>
    </row>
    <row r="2583" spans="7:7" x14ac:dyDescent="0.3">
      <c r="G2583"/>
    </row>
    <row r="2584" spans="7:7" x14ac:dyDescent="0.3">
      <c r="G2584"/>
    </row>
    <row r="2585" spans="7:7" x14ac:dyDescent="0.3">
      <c r="G2585"/>
    </row>
    <row r="2586" spans="7:7" x14ac:dyDescent="0.3">
      <c r="G2586"/>
    </row>
    <row r="2587" spans="7:7" x14ac:dyDescent="0.3">
      <c r="G2587"/>
    </row>
    <row r="2588" spans="7:7" x14ac:dyDescent="0.3">
      <c r="G2588"/>
    </row>
    <row r="2589" spans="7:7" x14ac:dyDescent="0.3">
      <c r="G2589"/>
    </row>
    <row r="2590" spans="7:7" x14ac:dyDescent="0.3">
      <c r="G2590"/>
    </row>
    <row r="2591" spans="7:7" x14ac:dyDescent="0.3">
      <c r="G2591"/>
    </row>
    <row r="2592" spans="7:7" x14ac:dyDescent="0.3">
      <c r="G2592"/>
    </row>
    <row r="2593" spans="7:7" x14ac:dyDescent="0.3">
      <c r="G2593"/>
    </row>
    <row r="2594" spans="7:7" x14ac:dyDescent="0.3">
      <c r="G2594"/>
    </row>
    <row r="2595" spans="7:7" x14ac:dyDescent="0.3">
      <c r="G2595"/>
    </row>
    <row r="2596" spans="7:7" x14ac:dyDescent="0.3">
      <c r="G2596"/>
    </row>
    <row r="2597" spans="7:7" x14ac:dyDescent="0.3">
      <c r="G2597"/>
    </row>
    <row r="2598" spans="7:7" x14ac:dyDescent="0.3">
      <c r="G2598"/>
    </row>
    <row r="2599" spans="7:7" x14ac:dyDescent="0.3">
      <c r="G2599"/>
    </row>
    <row r="2600" spans="7:7" x14ac:dyDescent="0.3">
      <c r="G2600"/>
    </row>
    <row r="2601" spans="7:7" x14ac:dyDescent="0.3">
      <c r="G2601"/>
    </row>
    <row r="2602" spans="7:7" x14ac:dyDescent="0.3">
      <c r="G2602"/>
    </row>
    <row r="2603" spans="7:7" x14ac:dyDescent="0.3">
      <c r="G2603"/>
    </row>
    <row r="2604" spans="7:7" x14ac:dyDescent="0.3">
      <c r="G2604"/>
    </row>
    <row r="2605" spans="7:7" x14ac:dyDescent="0.3">
      <c r="G2605"/>
    </row>
    <row r="2606" spans="7:7" x14ac:dyDescent="0.3">
      <c r="G2606"/>
    </row>
    <row r="2607" spans="7:7" x14ac:dyDescent="0.3">
      <c r="G2607"/>
    </row>
    <row r="2608" spans="7:7" x14ac:dyDescent="0.3">
      <c r="G2608"/>
    </row>
    <row r="2609" spans="7:7" x14ac:dyDescent="0.3">
      <c r="G2609"/>
    </row>
    <row r="2610" spans="7:7" x14ac:dyDescent="0.3">
      <c r="G2610"/>
    </row>
    <row r="2611" spans="7:7" x14ac:dyDescent="0.3">
      <c r="G2611"/>
    </row>
    <row r="2612" spans="7:7" x14ac:dyDescent="0.3">
      <c r="G2612"/>
    </row>
    <row r="2613" spans="7:7" x14ac:dyDescent="0.3">
      <c r="G2613"/>
    </row>
    <row r="2614" spans="7:7" x14ac:dyDescent="0.3">
      <c r="G2614"/>
    </row>
    <row r="2615" spans="7:7" x14ac:dyDescent="0.3">
      <c r="G2615"/>
    </row>
    <row r="2616" spans="7:7" x14ac:dyDescent="0.3">
      <c r="G2616"/>
    </row>
    <row r="2617" spans="7:7" x14ac:dyDescent="0.3">
      <c r="G2617"/>
    </row>
    <row r="2618" spans="7:7" x14ac:dyDescent="0.3">
      <c r="G2618"/>
    </row>
    <row r="2619" spans="7:7" x14ac:dyDescent="0.3">
      <c r="G2619"/>
    </row>
    <row r="2620" spans="7:7" x14ac:dyDescent="0.3">
      <c r="G2620"/>
    </row>
    <row r="2621" spans="7:7" x14ac:dyDescent="0.3">
      <c r="G2621"/>
    </row>
    <row r="2622" spans="7:7" x14ac:dyDescent="0.3">
      <c r="G2622"/>
    </row>
    <row r="2623" spans="7:7" x14ac:dyDescent="0.3">
      <c r="G2623"/>
    </row>
    <row r="2624" spans="7:7" x14ac:dyDescent="0.3">
      <c r="G2624"/>
    </row>
    <row r="2625" spans="7:7" x14ac:dyDescent="0.3">
      <c r="G2625"/>
    </row>
    <row r="2626" spans="7:7" x14ac:dyDescent="0.3">
      <c r="G2626"/>
    </row>
    <row r="2627" spans="7:7" x14ac:dyDescent="0.3">
      <c r="G2627"/>
    </row>
    <row r="2628" spans="7:7" x14ac:dyDescent="0.3">
      <c r="G2628"/>
    </row>
    <row r="2629" spans="7:7" x14ac:dyDescent="0.3">
      <c r="G2629"/>
    </row>
    <row r="2630" spans="7:7" x14ac:dyDescent="0.3">
      <c r="G2630"/>
    </row>
    <row r="2631" spans="7:7" x14ac:dyDescent="0.3">
      <c r="G2631"/>
    </row>
    <row r="2632" spans="7:7" x14ac:dyDescent="0.3">
      <c r="G2632"/>
    </row>
    <row r="2633" spans="7:7" x14ac:dyDescent="0.3">
      <c r="G2633"/>
    </row>
    <row r="2634" spans="7:7" x14ac:dyDescent="0.3">
      <c r="G2634"/>
    </row>
    <row r="2635" spans="7:7" x14ac:dyDescent="0.3">
      <c r="G2635"/>
    </row>
    <row r="2636" spans="7:7" x14ac:dyDescent="0.3">
      <c r="G2636"/>
    </row>
    <row r="2637" spans="7:7" x14ac:dyDescent="0.3">
      <c r="G2637"/>
    </row>
    <row r="2638" spans="7:7" x14ac:dyDescent="0.3">
      <c r="G2638"/>
    </row>
    <row r="2639" spans="7:7" x14ac:dyDescent="0.3">
      <c r="G2639"/>
    </row>
    <row r="2640" spans="7:7" x14ac:dyDescent="0.3">
      <c r="G2640"/>
    </row>
    <row r="2641" spans="7:7" x14ac:dyDescent="0.3">
      <c r="G2641"/>
    </row>
    <row r="2642" spans="7:7" x14ac:dyDescent="0.3">
      <c r="G2642"/>
    </row>
    <row r="2643" spans="7:7" x14ac:dyDescent="0.3">
      <c r="G2643"/>
    </row>
    <row r="2644" spans="7:7" x14ac:dyDescent="0.3">
      <c r="G2644"/>
    </row>
    <row r="2645" spans="7:7" x14ac:dyDescent="0.3">
      <c r="G2645"/>
    </row>
    <row r="2646" spans="7:7" x14ac:dyDescent="0.3">
      <c r="G2646"/>
    </row>
    <row r="2647" spans="7:7" x14ac:dyDescent="0.3">
      <c r="G2647"/>
    </row>
    <row r="2648" spans="7:7" x14ac:dyDescent="0.3">
      <c r="G2648"/>
    </row>
    <row r="2649" spans="7:7" x14ac:dyDescent="0.3">
      <c r="G2649"/>
    </row>
    <row r="2650" spans="7:7" x14ac:dyDescent="0.3">
      <c r="G2650"/>
    </row>
    <row r="2651" spans="7:7" x14ac:dyDescent="0.3">
      <c r="G2651"/>
    </row>
    <row r="2652" spans="7:7" x14ac:dyDescent="0.3">
      <c r="G2652"/>
    </row>
    <row r="2653" spans="7:7" x14ac:dyDescent="0.3">
      <c r="G2653"/>
    </row>
    <row r="2654" spans="7:7" x14ac:dyDescent="0.3">
      <c r="G2654"/>
    </row>
    <row r="2655" spans="7:7" x14ac:dyDescent="0.3">
      <c r="G2655"/>
    </row>
    <row r="2656" spans="7:7" x14ac:dyDescent="0.3">
      <c r="G2656"/>
    </row>
    <row r="2657" spans="7:7" x14ac:dyDescent="0.3">
      <c r="G2657"/>
    </row>
    <row r="2658" spans="7:7" x14ac:dyDescent="0.3">
      <c r="G2658"/>
    </row>
    <row r="2659" spans="7:7" x14ac:dyDescent="0.3">
      <c r="G2659"/>
    </row>
    <row r="2660" spans="7:7" x14ac:dyDescent="0.3">
      <c r="G2660"/>
    </row>
    <row r="2661" spans="7:7" x14ac:dyDescent="0.3">
      <c r="G2661"/>
    </row>
    <row r="2662" spans="7:7" x14ac:dyDescent="0.3">
      <c r="G2662"/>
    </row>
    <row r="2663" spans="7:7" x14ac:dyDescent="0.3">
      <c r="G2663"/>
    </row>
    <row r="2664" spans="7:7" x14ac:dyDescent="0.3">
      <c r="G2664"/>
    </row>
    <row r="2665" spans="7:7" x14ac:dyDescent="0.3">
      <c r="G2665"/>
    </row>
    <row r="2666" spans="7:7" x14ac:dyDescent="0.3">
      <c r="G2666"/>
    </row>
    <row r="2667" spans="7:7" x14ac:dyDescent="0.3">
      <c r="G2667"/>
    </row>
    <row r="2668" spans="7:7" x14ac:dyDescent="0.3">
      <c r="G2668"/>
    </row>
    <row r="2669" spans="7:7" x14ac:dyDescent="0.3">
      <c r="G2669"/>
    </row>
    <row r="2670" spans="7:7" x14ac:dyDescent="0.3">
      <c r="G2670"/>
    </row>
    <row r="2671" spans="7:7" x14ac:dyDescent="0.3">
      <c r="G2671"/>
    </row>
    <row r="2672" spans="7:7" x14ac:dyDescent="0.3">
      <c r="G2672"/>
    </row>
    <row r="2673" spans="7:7" x14ac:dyDescent="0.3">
      <c r="G2673"/>
    </row>
    <row r="2674" spans="7:7" x14ac:dyDescent="0.3">
      <c r="G2674"/>
    </row>
    <row r="2675" spans="7:7" x14ac:dyDescent="0.3">
      <c r="G2675"/>
    </row>
    <row r="2676" spans="7:7" x14ac:dyDescent="0.3">
      <c r="G2676"/>
    </row>
    <row r="2677" spans="7:7" x14ac:dyDescent="0.3">
      <c r="G2677"/>
    </row>
    <row r="2678" spans="7:7" x14ac:dyDescent="0.3">
      <c r="G2678"/>
    </row>
    <row r="2679" spans="7:7" x14ac:dyDescent="0.3">
      <c r="G2679"/>
    </row>
    <row r="2680" spans="7:7" x14ac:dyDescent="0.3">
      <c r="G2680"/>
    </row>
    <row r="2681" spans="7:7" x14ac:dyDescent="0.3">
      <c r="G2681"/>
    </row>
    <row r="2682" spans="7:7" x14ac:dyDescent="0.3">
      <c r="G2682"/>
    </row>
    <row r="2683" spans="7:7" x14ac:dyDescent="0.3">
      <c r="G2683"/>
    </row>
    <row r="2684" spans="7:7" x14ac:dyDescent="0.3">
      <c r="G2684"/>
    </row>
    <row r="2685" spans="7:7" x14ac:dyDescent="0.3">
      <c r="G2685"/>
    </row>
    <row r="2686" spans="7:7" x14ac:dyDescent="0.3">
      <c r="G2686"/>
    </row>
    <row r="2687" spans="7:7" x14ac:dyDescent="0.3">
      <c r="G2687"/>
    </row>
    <row r="2688" spans="7:7" x14ac:dyDescent="0.3">
      <c r="G2688"/>
    </row>
    <row r="2689" spans="7:7" x14ac:dyDescent="0.3">
      <c r="G2689"/>
    </row>
    <row r="2690" spans="7:7" x14ac:dyDescent="0.3">
      <c r="G2690"/>
    </row>
    <row r="2691" spans="7:7" x14ac:dyDescent="0.3">
      <c r="G2691"/>
    </row>
    <row r="2692" spans="7:7" x14ac:dyDescent="0.3">
      <c r="G2692"/>
    </row>
    <row r="2693" spans="7:7" x14ac:dyDescent="0.3">
      <c r="G2693"/>
    </row>
    <row r="2694" spans="7:7" x14ac:dyDescent="0.3">
      <c r="G2694"/>
    </row>
    <row r="2695" spans="7:7" x14ac:dyDescent="0.3">
      <c r="G2695"/>
    </row>
    <row r="2696" spans="7:7" x14ac:dyDescent="0.3">
      <c r="G2696"/>
    </row>
    <row r="2697" spans="7:7" x14ac:dyDescent="0.3">
      <c r="G2697"/>
    </row>
    <row r="2698" spans="7:7" x14ac:dyDescent="0.3">
      <c r="G2698"/>
    </row>
    <row r="2699" spans="7:7" x14ac:dyDescent="0.3">
      <c r="G2699"/>
    </row>
    <row r="2700" spans="7:7" x14ac:dyDescent="0.3">
      <c r="G2700"/>
    </row>
    <row r="2701" spans="7:7" x14ac:dyDescent="0.3">
      <c r="G2701"/>
    </row>
    <row r="2702" spans="7:7" x14ac:dyDescent="0.3">
      <c r="G2702"/>
    </row>
    <row r="2703" spans="7:7" x14ac:dyDescent="0.3">
      <c r="G2703"/>
    </row>
    <row r="2704" spans="7:7" x14ac:dyDescent="0.3">
      <c r="G2704"/>
    </row>
    <row r="2705" spans="7:7" x14ac:dyDescent="0.3">
      <c r="G2705"/>
    </row>
    <row r="2706" spans="7:7" x14ac:dyDescent="0.3">
      <c r="G2706"/>
    </row>
    <row r="2707" spans="7:7" x14ac:dyDescent="0.3">
      <c r="G2707"/>
    </row>
    <row r="2708" spans="7:7" x14ac:dyDescent="0.3">
      <c r="G2708"/>
    </row>
    <row r="2709" spans="7:7" x14ac:dyDescent="0.3">
      <c r="G2709"/>
    </row>
    <row r="2710" spans="7:7" x14ac:dyDescent="0.3">
      <c r="G2710"/>
    </row>
    <row r="2711" spans="7:7" x14ac:dyDescent="0.3">
      <c r="G2711"/>
    </row>
    <row r="2712" spans="7:7" x14ac:dyDescent="0.3">
      <c r="G2712"/>
    </row>
    <row r="2713" spans="7:7" x14ac:dyDescent="0.3">
      <c r="G2713"/>
    </row>
    <row r="2714" spans="7:7" x14ac:dyDescent="0.3">
      <c r="G2714"/>
    </row>
    <row r="2715" spans="7:7" x14ac:dyDescent="0.3">
      <c r="G2715"/>
    </row>
    <row r="2716" spans="7:7" x14ac:dyDescent="0.3">
      <c r="G2716"/>
    </row>
    <row r="2717" spans="7:7" x14ac:dyDescent="0.3">
      <c r="G2717"/>
    </row>
    <row r="2718" spans="7:7" x14ac:dyDescent="0.3">
      <c r="G2718"/>
    </row>
    <row r="2719" spans="7:7" x14ac:dyDescent="0.3">
      <c r="G2719"/>
    </row>
    <row r="2720" spans="7:7" x14ac:dyDescent="0.3">
      <c r="G2720"/>
    </row>
    <row r="2721" spans="7:7" x14ac:dyDescent="0.3">
      <c r="G2721"/>
    </row>
    <row r="2722" spans="7:7" x14ac:dyDescent="0.3">
      <c r="G2722"/>
    </row>
    <row r="2723" spans="7:7" x14ac:dyDescent="0.3">
      <c r="G2723"/>
    </row>
    <row r="2724" spans="7:7" x14ac:dyDescent="0.3">
      <c r="G2724"/>
    </row>
    <row r="2725" spans="7:7" x14ac:dyDescent="0.3">
      <c r="G2725"/>
    </row>
    <row r="2726" spans="7:7" x14ac:dyDescent="0.3">
      <c r="G2726"/>
    </row>
    <row r="2727" spans="7:7" x14ac:dyDescent="0.3">
      <c r="G2727"/>
    </row>
    <row r="2728" spans="7:7" x14ac:dyDescent="0.3">
      <c r="G2728"/>
    </row>
    <row r="2729" spans="7:7" x14ac:dyDescent="0.3">
      <c r="G2729"/>
    </row>
    <row r="2730" spans="7:7" x14ac:dyDescent="0.3">
      <c r="G2730"/>
    </row>
    <row r="2731" spans="7:7" x14ac:dyDescent="0.3">
      <c r="G2731"/>
    </row>
    <row r="2732" spans="7:7" x14ac:dyDescent="0.3">
      <c r="G2732"/>
    </row>
    <row r="2733" spans="7:7" x14ac:dyDescent="0.3">
      <c r="G2733"/>
    </row>
    <row r="2734" spans="7:7" x14ac:dyDescent="0.3">
      <c r="G2734"/>
    </row>
    <row r="2735" spans="7:7" x14ac:dyDescent="0.3">
      <c r="G2735"/>
    </row>
    <row r="2736" spans="7:7" x14ac:dyDescent="0.3">
      <c r="G2736"/>
    </row>
    <row r="2737" spans="7:7" x14ac:dyDescent="0.3">
      <c r="G2737"/>
    </row>
    <row r="2738" spans="7:7" x14ac:dyDescent="0.3">
      <c r="G2738"/>
    </row>
    <row r="2739" spans="7:7" x14ac:dyDescent="0.3">
      <c r="G2739"/>
    </row>
    <row r="2740" spans="7:7" x14ac:dyDescent="0.3">
      <c r="G2740"/>
    </row>
    <row r="2741" spans="7:7" x14ac:dyDescent="0.3">
      <c r="G2741"/>
    </row>
    <row r="2742" spans="7:7" x14ac:dyDescent="0.3">
      <c r="G2742"/>
    </row>
    <row r="2743" spans="7:7" x14ac:dyDescent="0.3">
      <c r="G2743"/>
    </row>
    <row r="2744" spans="7:7" x14ac:dyDescent="0.3">
      <c r="G2744"/>
    </row>
    <row r="2745" spans="7:7" x14ac:dyDescent="0.3">
      <c r="G2745"/>
    </row>
    <row r="2746" spans="7:7" x14ac:dyDescent="0.3">
      <c r="G2746"/>
    </row>
    <row r="2747" spans="7:7" x14ac:dyDescent="0.3">
      <c r="G2747"/>
    </row>
    <row r="2748" spans="7:7" x14ac:dyDescent="0.3">
      <c r="G2748"/>
    </row>
    <row r="2749" spans="7:7" x14ac:dyDescent="0.3">
      <c r="G2749"/>
    </row>
    <row r="2750" spans="7:7" x14ac:dyDescent="0.3">
      <c r="G2750"/>
    </row>
    <row r="2751" spans="7:7" x14ac:dyDescent="0.3">
      <c r="G2751"/>
    </row>
    <row r="2752" spans="7:7" x14ac:dyDescent="0.3">
      <c r="G2752"/>
    </row>
    <row r="2753" spans="7:7" x14ac:dyDescent="0.3">
      <c r="G2753"/>
    </row>
    <row r="2754" spans="7:7" x14ac:dyDescent="0.3">
      <c r="G2754"/>
    </row>
    <row r="2755" spans="7:7" x14ac:dyDescent="0.3">
      <c r="G2755"/>
    </row>
    <row r="2756" spans="7:7" x14ac:dyDescent="0.3">
      <c r="G2756"/>
    </row>
    <row r="2757" spans="7:7" x14ac:dyDescent="0.3">
      <c r="G2757"/>
    </row>
    <row r="2758" spans="7:7" x14ac:dyDescent="0.3">
      <c r="G2758"/>
    </row>
    <row r="2759" spans="7:7" x14ac:dyDescent="0.3">
      <c r="G2759"/>
    </row>
    <row r="2760" spans="7:7" x14ac:dyDescent="0.3">
      <c r="G2760"/>
    </row>
    <row r="2761" spans="7:7" x14ac:dyDescent="0.3">
      <c r="G2761"/>
    </row>
    <row r="2762" spans="7:7" x14ac:dyDescent="0.3">
      <c r="G2762"/>
    </row>
    <row r="2763" spans="7:7" x14ac:dyDescent="0.3">
      <c r="G2763"/>
    </row>
    <row r="2764" spans="7:7" x14ac:dyDescent="0.3">
      <c r="G2764"/>
    </row>
    <row r="2765" spans="7:7" x14ac:dyDescent="0.3">
      <c r="G2765"/>
    </row>
    <row r="2766" spans="7:7" x14ac:dyDescent="0.3">
      <c r="G2766"/>
    </row>
    <row r="2767" spans="7:7" x14ac:dyDescent="0.3">
      <c r="G2767"/>
    </row>
    <row r="2768" spans="7:7" x14ac:dyDescent="0.3">
      <c r="G2768"/>
    </row>
    <row r="2769" spans="7:7" x14ac:dyDescent="0.3">
      <c r="G2769"/>
    </row>
    <row r="2770" spans="7:7" x14ac:dyDescent="0.3">
      <c r="G2770"/>
    </row>
    <row r="2771" spans="7:7" x14ac:dyDescent="0.3">
      <c r="G2771"/>
    </row>
    <row r="2772" spans="7:7" x14ac:dyDescent="0.3">
      <c r="G2772"/>
    </row>
    <row r="2773" spans="7:7" x14ac:dyDescent="0.3">
      <c r="G2773"/>
    </row>
    <row r="2774" spans="7:7" x14ac:dyDescent="0.3">
      <c r="G2774"/>
    </row>
    <row r="2775" spans="7:7" x14ac:dyDescent="0.3">
      <c r="G2775"/>
    </row>
    <row r="2776" spans="7:7" x14ac:dyDescent="0.3">
      <c r="G2776"/>
    </row>
    <row r="2777" spans="7:7" x14ac:dyDescent="0.3">
      <c r="G2777"/>
    </row>
    <row r="2778" spans="7:7" x14ac:dyDescent="0.3">
      <c r="G2778"/>
    </row>
    <row r="2779" spans="7:7" x14ac:dyDescent="0.3">
      <c r="G2779"/>
    </row>
    <row r="2780" spans="7:7" x14ac:dyDescent="0.3">
      <c r="G2780"/>
    </row>
    <row r="2781" spans="7:7" x14ac:dyDescent="0.3">
      <c r="G2781"/>
    </row>
    <row r="2782" spans="7:7" x14ac:dyDescent="0.3">
      <c r="G2782"/>
    </row>
    <row r="2783" spans="7:7" x14ac:dyDescent="0.3">
      <c r="G2783"/>
    </row>
    <row r="2784" spans="7:7" x14ac:dyDescent="0.3">
      <c r="G2784"/>
    </row>
    <row r="2785" spans="7:7" x14ac:dyDescent="0.3">
      <c r="G2785"/>
    </row>
    <row r="2786" spans="7:7" x14ac:dyDescent="0.3">
      <c r="G2786"/>
    </row>
    <row r="2787" spans="7:7" x14ac:dyDescent="0.3">
      <c r="G2787"/>
    </row>
    <row r="2788" spans="7:7" x14ac:dyDescent="0.3">
      <c r="G2788"/>
    </row>
    <row r="2789" spans="7:7" x14ac:dyDescent="0.3">
      <c r="G2789"/>
    </row>
    <row r="2790" spans="7:7" x14ac:dyDescent="0.3">
      <c r="G2790"/>
    </row>
    <row r="2791" spans="7:7" x14ac:dyDescent="0.3">
      <c r="G2791"/>
    </row>
    <row r="2792" spans="7:7" x14ac:dyDescent="0.3">
      <c r="G2792"/>
    </row>
    <row r="2793" spans="7:7" x14ac:dyDescent="0.3">
      <c r="G2793"/>
    </row>
    <row r="2794" spans="7:7" x14ac:dyDescent="0.3">
      <c r="G2794"/>
    </row>
    <row r="2795" spans="7:7" x14ac:dyDescent="0.3">
      <c r="G2795"/>
    </row>
    <row r="2796" spans="7:7" x14ac:dyDescent="0.3">
      <c r="G2796"/>
    </row>
    <row r="2797" spans="7:7" x14ac:dyDescent="0.3">
      <c r="G2797"/>
    </row>
    <row r="2798" spans="7:7" x14ac:dyDescent="0.3">
      <c r="G2798"/>
    </row>
    <row r="2799" spans="7:7" x14ac:dyDescent="0.3">
      <c r="G2799"/>
    </row>
    <row r="2800" spans="7:7" x14ac:dyDescent="0.3">
      <c r="G2800"/>
    </row>
    <row r="2801" spans="7:7" x14ac:dyDescent="0.3">
      <c r="G2801"/>
    </row>
    <row r="2802" spans="7:7" x14ac:dyDescent="0.3">
      <c r="G2802"/>
    </row>
    <row r="2803" spans="7:7" x14ac:dyDescent="0.3">
      <c r="G2803"/>
    </row>
    <row r="2804" spans="7:7" x14ac:dyDescent="0.3">
      <c r="G2804"/>
    </row>
    <row r="2805" spans="7:7" x14ac:dyDescent="0.3">
      <c r="G2805"/>
    </row>
    <row r="2806" spans="7:7" x14ac:dyDescent="0.3">
      <c r="G2806"/>
    </row>
    <row r="2807" spans="7:7" x14ac:dyDescent="0.3">
      <c r="G2807"/>
    </row>
    <row r="2808" spans="7:7" x14ac:dyDescent="0.3">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workbookViewId="0">
      <selection activeCell="A22" sqref="A22"/>
    </sheetView>
  </sheetViews>
  <sheetFormatPr defaultColWidth="8.88671875" defaultRowHeight="14.4" x14ac:dyDescent="0.3"/>
  <cols>
    <col min="1" max="1" width="19" style="323" customWidth="1"/>
    <col min="2" max="2" width="12.44140625" style="323" customWidth="1"/>
    <col min="3" max="5" width="8.88671875" style="323"/>
    <col min="6" max="6" width="14.33203125" style="323" customWidth="1"/>
    <col min="7" max="7" width="22.5546875" style="323" customWidth="1"/>
    <col min="8" max="8" width="20" style="323" customWidth="1"/>
    <col min="9" max="9" width="23.5546875" style="323" customWidth="1"/>
    <col min="10" max="16384" width="8.88671875" style="323"/>
  </cols>
  <sheetData>
    <row r="1" spans="1:10" x14ac:dyDescent="0.3">
      <c r="A1" s="485" t="s">
        <v>1575</v>
      </c>
      <c r="B1" s="485" t="s">
        <v>392</v>
      </c>
      <c r="C1" s="485" t="s">
        <v>392</v>
      </c>
      <c r="D1" s="485" t="s">
        <v>0</v>
      </c>
      <c r="E1" s="485" t="s">
        <v>392</v>
      </c>
      <c r="F1" s="485" t="s">
        <v>0</v>
      </c>
      <c r="G1" s="485" t="s">
        <v>1467</v>
      </c>
      <c r="H1" s="485" t="s">
        <v>1468</v>
      </c>
      <c r="I1" s="485" t="s">
        <v>1469</v>
      </c>
    </row>
    <row r="2" spans="1:10" x14ac:dyDescent="0.3">
      <c r="A2" s="323" t="s">
        <v>1470</v>
      </c>
      <c r="B2" s="323" t="s">
        <v>378</v>
      </c>
      <c r="C2" s="323" t="s">
        <v>378</v>
      </c>
      <c r="D2" s="323" t="s">
        <v>5</v>
      </c>
      <c r="E2" s="323" t="s">
        <v>378</v>
      </c>
      <c r="F2" s="323" t="s">
        <v>5</v>
      </c>
      <c r="G2" s="323" t="s">
        <v>1471</v>
      </c>
      <c r="H2" s="323" t="s">
        <v>4</v>
      </c>
      <c r="I2" s="323" t="s">
        <v>1472</v>
      </c>
      <c r="J2" s="323" t="s">
        <v>1473</v>
      </c>
    </row>
    <row r="3" spans="1:10" x14ac:dyDescent="0.3">
      <c r="A3" s="323" t="s">
        <v>1474</v>
      </c>
      <c r="B3" s="323" t="s">
        <v>506</v>
      </c>
      <c r="C3" s="323" t="s">
        <v>378</v>
      </c>
      <c r="D3" s="323" t="s">
        <v>27</v>
      </c>
      <c r="E3" s="323" t="s">
        <v>378</v>
      </c>
      <c r="F3" s="323" t="s">
        <v>5</v>
      </c>
      <c r="G3" s="323" t="s">
        <v>12</v>
      </c>
      <c r="H3" s="323" t="s">
        <v>11</v>
      </c>
      <c r="I3" s="323" t="s">
        <v>1475</v>
      </c>
      <c r="J3" s="323" t="s">
        <v>1476</v>
      </c>
    </row>
    <row r="4" spans="1:10" x14ac:dyDescent="0.3">
      <c r="A4" s="323" t="s">
        <v>1580</v>
      </c>
      <c r="C4" s="323" t="s">
        <v>378</v>
      </c>
      <c r="D4" s="323" t="s">
        <v>480</v>
      </c>
      <c r="E4" s="323" t="s">
        <v>378</v>
      </c>
      <c r="F4" s="323" t="s">
        <v>5</v>
      </c>
      <c r="G4" s="323" t="s">
        <v>22</v>
      </c>
      <c r="H4" s="323" t="s">
        <v>21</v>
      </c>
      <c r="I4" s="323" t="s">
        <v>1477</v>
      </c>
    </row>
    <row r="5" spans="1:10" x14ac:dyDescent="0.3">
      <c r="A5" s="323" t="s">
        <v>424</v>
      </c>
      <c r="C5" s="323" t="s">
        <v>378</v>
      </c>
      <c r="D5" s="323" t="s">
        <v>151</v>
      </c>
      <c r="E5" s="323" t="s">
        <v>378</v>
      </c>
      <c r="F5" s="323" t="s">
        <v>5</v>
      </c>
      <c r="G5" s="323" t="s">
        <v>14</v>
      </c>
      <c r="H5" s="323" t="s">
        <v>13</v>
      </c>
      <c r="I5" s="323" t="s">
        <v>1478</v>
      </c>
    </row>
    <row r="6" spans="1:10" x14ac:dyDescent="0.3">
      <c r="A6" s="323" t="s">
        <v>1308</v>
      </c>
      <c r="C6" s="323" t="s">
        <v>378</v>
      </c>
      <c r="D6" s="323" t="s">
        <v>173</v>
      </c>
      <c r="E6" s="323" t="s">
        <v>378</v>
      </c>
      <c r="F6" s="323" t="s">
        <v>5</v>
      </c>
      <c r="G6" s="323" t="s">
        <v>1479</v>
      </c>
      <c r="H6" s="323" t="s">
        <v>19</v>
      </c>
    </row>
    <row r="7" spans="1:10" x14ac:dyDescent="0.3">
      <c r="A7" s="323" t="s">
        <v>1480</v>
      </c>
      <c r="C7" s="323" t="s">
        <v>378</v>
      </c>
      <c r="D7" s="323" t="s">
        <v>180</v>
      </c>
      <c r="E7" s="323" t="s">
        <v>378</v>
      </c>
      <c r="F7" s="323" t="s">
        <v>5</v>
      </c>
      <c r="G7" s="323" t="s">
        <v>18</v>
      </c>
      <c r="H7" s="323" t="s">
        <v>17</v>
      </c>
    </row>
    <row r="8" spans="1:10" x14ac:dyDescent="0.3">
      <c r="A8" s="323" t="s">
        <v>1481</v>
      </c>
      <c r="C8" s="323" t="s">
        <v>378</v>
      </c>
      <c r="D8" s="323" t="s">
        <v>185</v>
      </c>
      <c r="E8" s="323" t="s">
        <v>378</v>
      </c>
      <c r="F8" s="323" t="s">
        <v>5</v>
      </c>
      <c r="G8" s="323" t="s">
        <v>364</v>
      </c>
      <c r="H8" s="323" t="s">
        <v>374</v>
      </c>
    </row>
    <row r="9" spans="1:10" x14ac:dyDescent="0.3">
      <c r="A9" s="323" t="s">
        <v>778</v>
      </c>
      <c r="C9" s="323" t="s">
        <v>378</v>
      </c>
      <c r="D9" s="323" t="s">
        <v>237</v>
      </c>
      <c r="E9" s="323" t="s">
        <v>378</v>
      </c>
      <c r="F9" s="323" t="s">
        <v>5</v>
      </c>
      <c r="G9" s="323" t="s">
        <v>1482</v>
      </c>
      <c r="H9" s="323" t="s">
        <v>375</v>
      </c>
    </row>
    <row r="10" spans="1:10" x14ac:dyDescent="0.3">
      <c r="A10" s="323" t="s">
        <v>1483</v>
      </c>
      <c r="C10" s="323" t="s">
        <v>378</v>
      </c>
      <c r="D10" s="323" t="s">
        <v>299</v>
      </c>
      <c r="E10" s="323" t="s">
        <v>378</v>
      </c>
      <c r="F10" s="323" t="s">
        <v>5</v>
      </c>
      <c r="G10" s="323" t="s">
        <v>8</v>
      </c>
      <c r="H10" s="323" t="s">
        <v>7</v>
      </c>
    </row>
    <row r="11" spans="1:10" x14ac:dyDescent="0.3">
      <c r="A11" s="323" t="s">
        <v>1264</v>
      </c>
      <c r="C11" s="323" t="s">
        <v>378</v>
      </c>
      <c r="D11" s="323" t="s">
        <v>301</v>
      </c>
      <c r="E11" s="323" t="s">
        <v>378</v>
      </c>
      <c r="F11" s="323" t="s">
        <v>5</v>
      </c>
      <c r="G11" s="323" t="s">
        <v>26</v>
      </c>
      <c r="H11" s="323" t="s">
        <v>25</v>
      </c>
    </row>
    <row r="12" spans="1:10" x14ac:dyDescent="0.3">
      <c r="A12" s="323" t="s">
        <v>462</v>
      </c>
      <c r="C12" s="323" t="s">
        <v>378</v>
      </c>
      <c r="D12" s="323" t="s">
        <v>746</v>
      </c>
      <c r="E12" s="323" t="s">
        <v>378</v>
      </c>
      <c r="F12" s="323" t="s">
        <v>5</v>
      </c>
      <c r="G12" s="323" t="s">
        <v>24</v>
      </c>
      <c r="H12" s="323" t="s">
        <v>23</v>
      </c>
    </row>
    <row r="13" spans="1:10" x14ac:dyDescent="0.3">
      <c r="A13" s="323" t="s">
        <v>1484</v>
      </c>
      <c r="C13" s="323" t="s">
        <v>378</v>
      </c>
      <c r="D13" s="323" t="s">
        <v>1137</v>
      </c>
      <c r="E13" s="323" t="s">
        <v>378</v>
      </c>
      <c r="F13" s="323" t="s">
        <v>27</v>
      </c>
      <c r="G13" s="323" t="s">
        <v>1485</v>
      </c>
      <c r="H13" s="323" t="s">
        <v>29</v>
      </c>
    </row>
    <row r="14" spans="1:10" x14ac:dyDescent="0.3">
      <c r="A14" s="323" t="s">
        <v>1385</v>
      </c>
      <c r="C14" s="323" t="s">
        <v>378</v>
      </c>
      <c r="D14" s="323" t="s">
        <v>309</v>
      </c>
      <c r="E14" s="323" t="s">
        <v>378</v>
      </c>
      <c r="F14" s="323" t="s">
        <v>27</v>
      </c>
      <c r="G14" s="323" t="s">
        <v>28</v>
      </c>
      <c r="H14" s="323" t="s">
        <v>30</v>
      </c>
    </row>
    <row r="15" spans="1:10" x14ac:dyDescent="0.3">
      <c r="A15" s="323" t="s">
        <v>420</v>
      </c>
      <c r="C15" s="323" t="s">
        <v>506</v>
      </c>
      <c r="D15" s="323" t="s">
        <v>719</v>
      </c>
      <c r="E15" s="323" t="s">
        <v>378</v>
      </c>
      <c r="F15" s="323" t="s">
        <v>27</v>
      </c>
      <c r="G15" s="323" t="s">
        <v>790</v>
      </c>
      <c r="H15" s="323" t="s">
        <v>789</v>
      </c>
    </row>
    <row r="16" spans="1:10" x14ac:dyDescent="0.3">
      <c r="A16" s="323" t="s">
        <v>773</v>
      </c>
      <c r="C16" s="323" t="s">
        <v>506</v>
      </c>
      <c r="D16" s="323" t="s">
        <v>146</v>
      </c>
      <c r="E16" s="323" t="s">
        <v>378</v>
      </c>
      <c r="F16" s="323" t="s">
        <v>27</v>
      </c>
      <c r="G16" s="323" t="s">
        <v>875</v>
      </c>
      <c r="H16" s="323" t="s">
        <v>876</v>
      </c>
    </row>
    <row r="17" spans="1:8" x14ac:dyDescent="0.3">
      <c r="A17" s="323" t="s">
        <v>825</v>
      </c>
      <c r="C17" s="323" t="s">
        <v>506</v>
      </c>
      <c r="D17" s="323" t="s">
        <v>166</v>
      </c>
      <c r="E17" s="323" t="s">
        <v>378</v>
      </c>
      <c r="F17" s="323" t="s">
        <v>27</v>
      </c>
      <c r="G17" s="323" t="s">
        <v>363</v>
      </c>
      <c r="H17" s="323" t="s">
        <v>376</v>
      </c>
    </row>
    <row r="18" spans="1:8" x14ac:dyDescent="0.3">
      <c r="A18" s="323" t="s">
        <v>1574</v>
      </c>
      <c r="C18" s="323" t="s">
        <v>506</v>
      </c>
      <c r="D18" s="323" t="s">
        <v>230</v>
      </c>
      <c r="E18" s="323" t="s">
        <v>378</v>
      </c>
      <c r="F18" s="323" t="s">
        <v>480</v>
      </c>
      <c r="G18" s="323" t="s">
        <v>1486</v>
      </c>
      <c r="H18" s="323" t="s">
        <v>119</v>
      </c>
    </row>
    <row r="19" spans="1:8" x14ac:dyDescent="0.3">
      <c r="A19" s="323" t="s">
        <v>1576</v>
      </c>
      <c r="C19" s="323" t="s">
        <v>506</v>
      </c>
      <c r="D19" s="323" t="s">
        <v>288</v>
      </c>
      <c r="E19" s="323" t="s">
        <v>378</v>
      </c>
      <c r="F19" s="323" t="s">
        <v>480</v>
      </c>
      <c r="G19" s="323" t="s">
        <v>140</v>
      </c>
      <c r="H19" s="323" t="s">
        <v>139</v>
      </c>
    </row>
    <row r="20" spans="1:8" x14ac:dyDescent="0.3">
      <c r="A20" s="323" t="s">
        <v>1577</v>
      </c>
      <c r="C20" s="323" t="s">
        <v>506</v>
      </c>
      <c r="D20" s="323" t="s">
        <v>297</v>
      </c>
      <c r="E20" s="323" t="s">
        <v>378</v>
      </c>
      <c r="F20" s="323" t="s">
        <v>480</v>
      </c>
      <c r="G20" s="323" t="s">
        <v>1487</v>
      </c>
      <c r="H20" s="323" t="s">
        <v>87</v>
      </c>
    </row>
    <row r="21" spans="1:8" x14ac:dyDescent="0.3">
      <c r="A21" s="558" t="s">
        <v>1587</v>
      </c>
      <c r="C21" s="323" t="s">
        <v>506</v>
      </c>
      <c r="D21" s="323" t="s">
        <v>1201</v>
      </c>
      <c r="E21" s="323" t="s">
        <v>378</v>
      </c>
      <c r="F21" s="323" t="s">
        <v>480</v>
      </c>
      <c r="G21" s="323" t="s">
        <v>1488</v>
      </c>
      <c r="H21" s="323" t="s">
        <v>51</v>
      </c>
    </row>
    <row r="22" spans="1:8" x14ac:dyDescent="0.3">
      <c r="A22" s="323" t="s">
        <v>1608</v>
      </c>
      <c r="D22" s="323" t="s">
        <v>717</v>
      </c>
      <c r="E22" s="323" t="s">
        <v>378</v>
      </c>
      <c r="F22" s="323" t="s">
        <v>480</v>
      </c>
      <c r="G22" s="323" t="s">
        <v>1489</v>
      </c>
      <c r="H22" s="323" t="s">
        <v>1273</v>
      </c>
    </row>
    <row r="23" spans="1:8" x14ac:dyDescent="0.3">
      <c r="E23" s="323" t="s">
        <v>378</v>
      </c>
      <c r="F23" s="323" t="s">
        <v>480</v>
      </c>
      <c r="G23" s="323" t="s">
        <v>1490</v>
      </c>
      <c r="H23" s="323" t="s">
        <v>123</v>
      </c>
    </row>
    <row r="24" spans="1:8" x14ac:dyDescent="0.3">
      <c r="E24" s="323" t="s">
        <v>378</v>
      </c>
      <c r="F24" s="323" t="s">
        <v>480</v>
      </c>
      <c r="G24" s="323" t="s">
        <v>1491</v>
      </c>
      <c r="H24" s="323" t="s">
        <v>125</v>
      </c>
    </row>
    <row r="25" spans="1:8" x14ac:dyDescent="0.3">
      <c r="E25" s="323" t="s">
        <v>378</v>
      </c>
      <c r="F25" s="323" t="s">
        <v>480</v>
      </c>
      <c r="G25" s="323" t="s">
        <v>1492</v>
      </c>
      <c r="H25" s="323" t="s">
        <v>1165</v>
      </c>
    </row>
    <row r="26" spans="1:8" x14ac:dyDescent="0.3">
      <c r="E26" s="323" t="s">
        <v>378</v>
      </c>
      <c r="F26" s="323" t="s">
        <v>480</v>
      </c>
      <c r="G26" s="323" t="s">
        <v>1493</v>
      </c>
      <c r="H26" s="323" t="s">
        <v>916</v>
      </c>
    </row>
    <row r="27" spans="1:8" x14ac:dyDescent="0.3">
      <c r="E27" s="323" t="s">
        <v>378</v>
      </c>
      <c r="F27" s="323" t="s">
        <v>480</v>
      </c>
      <c r="G27" s="323" t="s">
        <v>1494</v>
      </c>
      <c r="H27" s="323" t="s">
        <v>1162</v>
      </c>
    </row>
    <row r="28" spans="1:8" x14ac:dyDescent="0.3">
      <c r="E28" s="323" t="s">
        <v>378</v>
      </c>
      <c r="F28" s="323" t="s">
        <v>480</v>
      </c>
      <c r="G28" s="323" t="s">
        <v>100</v>
      </c>
      <c r="H28" s="323" t="s">
        <v>99</v>
      </c>
    </row>
    <row r="29" spans="1:8" x14ac:dyDescent="0.3">
      <c r="E29" s="323" t="s">
        <v>378</v>
      </c>
      <c r="F29" s="323" t="s">
        <v>480</v>
      </c>
      <c r="G29" s="323" t="s">
        <v>72</v>
      </c>
      <c r="H29" s="323" t="s">
        <v>71</v>
      </c>
    </row>
    <row r="30" spans="1:8" x14ac:dyDescent="0.3">
      <c r="E30" s="323" t="s">
        <v>378</v>
      </c>
      <c r="F30" s="323" t="s">
        <v>480</v>
      </c>
      <c r="G30" s="323" t="s">
        <v>92</v>
      </c>
      <c r="H30" s="323" t="s">
        <v>91</v>
      </c>
    </row>
    <row r="31" spans="1:8" x14ac:dyDescent="0.3">
      <c r="E31" s="323" t="s">
        <v>378</v>
      </c>
      <c r="F31" s="323" t="s">
        <v>480</v>
      </c>
      <c r="G31" s="323" t="s">
        <v>108</v>
      </c>
      <c r="H31" s="323" t="s">
        <v>107</v>
      </c>
    </row>
    <row r="32" spans="1:8" x14ac:dyDescent="0.3">
      <c r="E32" s="323" t="s">
        <v>378</v>
      </c>
      <c r="F32" s="323" t="s">
        <v>480</v>
      </c>
      <c r="G32" s="323" t="s">
        <v>1158</v>
      </c>
      <c r="H32" s="323" t="s">
        <v>1164</v>
      </c>
    </row>
    <row r="33" spans="5:8" x14ac:dyDescent="0.3">
      <c r="E33" s="323" t="s">
        <v>378</v>
      </c>
      <c r="F33" s="323" t="s">
        <v>480</v>
      </c>
      <c r="G33" s="323" t="s">
        <v>1495</v>
      </c>
      <c r="H33" s="323" t="s">
        <v>75</v>
      </c>
    </row>
    <row r="34" spans="5:8" x14ac:dyDescent="0.3">
      <c r="E34" s="323" t="s">
        <v>378</v>
      </c>
      <c r="F34" s="323" t="s">
        <v>480</v>
      </c>
      <c r="G34" s="323" t="s">
        <v>41</v>
      </c>
      <c r="H34" s="323" t="s">
        <v>40</v>
      </c>
    </row>
    <row r="35" spans="5:8" x14ac:dyDescent="0.3">
      <c r="E35" s="323" t="s">
        <v>378</v>
      </c>
      <c r="F35" s="323" t="s">
        <v>480</v>
      </c>
      <c r="G35" s="323" t="s">
        <v>90</v>
      </c>
      <c r="H35" s="323" t="s">
        <v>89</v>
      </c>
    </row>
    <row r="36" spans="5:8" x14ac:dyDescent="0.3">
      <c r="E36" s="323" t="s">
        <v>378</v>
      </c>
      <c r="F36" s="323" t="s">
        <v>480</v>
      </c>
      <c r="G36" s="323" t="s">
        <v>118</v>
      </c>
      <c r="H36" s="323" t="s">
        <v>117</v>
      </c>
    </row>
    <row r="37" spans="5:8" x14ac:dyDescent="0.3">
      <c r="E37" s="323" t="s">
        <v>378</v>
      </c>
      <c r="F37" s="323" t="s">
        <v>480</v>
      </c>
      <c r="G37" s="323" t="s">
        <v>43</v>
      </c>
      <c r="H37" s="323" t="s">
        <v>42</v>
      </c>
    </row>
    <row r="38" spans="5:8" x14ac:dyDescent="0.3">
      <c r="E38" s="323" t="s">
        <v>378</v>
      </c>
      <c r="F38" s="323" t="s">
        <v>480</v>
      </c>
      <c r="G38" s="323" t="s">
        <v>44</v>
      </c>
      <c r="H38" s="323" t="s">
        <v>45</v>
      </c>
    </row>
    <row r="39" spans="5:8" x14ac:dyDescent="0.3">
      <c r="E39" s="323" t="s">
        <v>378</v>
      </c>
      <c r="F39" s="323" t="s">
        <v>480</v>
      </c>
      <c r="G39" s="323" t="s">
        <v>551</v>
      </c>
      <c r="H39" s="323" t="s">
        <v>46</v>
      </c>
    </row>
    <row r="40" spans="5:8" x14ac:dyDescent="0.3">
      <c r="E40" s="323" t="s">
        <v>378</v>
      </c>
      <c r="F40" s="323" t="s">
        <v>151</v>
      </c>
      <c r="G40" s="323" t="s">
        <v>188</v>
      </c>
      <c r="H40" s="323" t="s">
        <v>187</v>
      </c>
    </row>
    <row r="41" spans="5:8" x14ac:dyDescent="0.3">
      <c r="E41" s="323" t="s">
        <v>378</v>
      </c>
      <c r="F41" s="323" t="s">
        <v>151</v>
      </c>
      <c r="G41" s="323" t="s">
        <v>12</v>
      </c>
      <c r="H41" s="323" t="s">
        <v>388</v>
      </c>
    </row>
    <row r="42" spans="5:8" x14ac:dyDescent="0.3">
      <c r="E42" s="323" t="s">
        <v>378</v>
      </c>
      <c r="F42" s="323" t="s">
        <v>151</v>
      </c>
      <c r="G42" s="323" t="s">
        <v>198</v>
      </c>
      <c r="H42" s="323" t="s">
        <v>197</v>
      </c>
    </row>
    <row r="43" spans="5:8" x14ac:dyDescent="0.3">
      <c r="E43" s="323" t="s">
        <v>378</v>
      </c>
      <c r="F43" s="323" t="s">
        <v>151</v>
      </c>
      <c r="G43" s="323" t="s">
        <v>1496</v>
      </c>
      <c r="H43" s="323" t="s">
        <v>846</v>
      </c>
    </row>
    <row r="44" spans="5:8" x14ac:dyDescent="0.3">
      <c r="E44" s="323" t="s">
        <v>378</v>
      </c>
      <c r="F44" s="323" t="s">
        <v>151</v>
      </c>
      <c r="G44" s="323" t="s">
        <v>152</v>
      </c>
      <c r="H44" s="323" t="s">
        <v>150</v>
      </c>
    </row>
    <row r="45" spans="5:8" x14ac:dyDescent="0.3">
      <c r="E45" s="323" t="s">
        <v>378</v>
      </c>
      <c r="F45" s="323" t="s">
        <v>151</v>
      </c>
      <c r="G45" s="323" t="s">
        <v>1497</v>
      </c>
      <c r="H45" s="323" t="s">
        <v>153</v>
      </c>
    </row>
    <row r="46" spans="5:8" x14ac:dyDescent="0.3">
      <c r="E46" s="323" t="s">
        <v>378</v>
      </c>
      <c r="F46" s="323" t="s">
        <v>151</v>
      </c>
      <c r="G46" s="323" t="s">
        <v>1498</v>
      </c>
      <c r="H46" s="323" t="s">
        <v>912</v>
      </c>
    </row>
    <row r="47" spans="5:8" x14ac:dyDescent="0.3">
      <c r="E47" s="323" t="s">
        <v>378</v>
      </c>
      <c r="F47" s="323" t="s">
        <v>151</v>
      </c>
      <c r="G47" s="323" t="s">
        <v>156</v>
      </c>
      <c r="H47" s="323" t="s">
        <v>155</v>
      </c>
    </row>
    <row r="48" spans="5:8" x14ac:dyDescent="0.3">
      <c r="E48" s="323" t="s">
        <v>378</v>
      </c>
      <c r="F48" s="323" t="s">
        <v>151</v>
      </c>
      <c r="G48" s="323" t="s">
        <v>1499</v>
      </c>
      <c r="H48" s="323" t="s">
        <v>159</v>
      </c>
    </row>
    <row r="49" spans="5:8" x14ac:dyDescent="0.3">
      <c r="E49" s="323" t="s">
        <v>378</v>
      </c>
      <c r="F49" s="323" t="s">
        <v>151</v>
      </c>
      <c r="G49" s="323" t="s">
        <v>1500</v>
      </c>
      <c r="H49" s="323" t="s">
        <v>812</v>
      </c>
    </row>
    <row r="50" spans="5:8" x14ac:dyDescent="0.3">
      <c r="E50" s="323" t="s">
        <v>378</v>
      </c>
      <c r="F50" s="323" t="s">
        <v>151</v>
      </c>
      <c r="G50" s="323" t="s">
        <v>1501</v>
      </c>
      <c r="H50" s="323" t="s">
        <v>939</v>
      </c>
    </row>
    <row r="51" spans="5:8" x14ac:dyDescent="0.3">
      <c r="E51" s="323" t="s">
        <v>378</v>
      </c>
      <c r="F51" s="323" t="s">
        <v>173</v>
      </c>
      <c r="G51" s="323" t="s">
        <v>1502</v>
      </c>
      <c r="H51" s="323" t="s">
        <v>175</v>
      </c>
    </row>
    <row r="52" spans="5:8" x14ac:dyDescent="0.3">
      <c r="E52" s="323" t="s">
        <v>378</v>
      </c>
      <c r="F52" s="323" t="s">
        <v>173</v>
      </c>
      <c r="G52" s="323" t="s">
        <v>174</v>
      </c>
      <c r="H52" s="323" t="s">
        <v>172</v>
      </c>
    </row>
    <row r="53" spans="5:8" x14ac:dyDescent="0.3">
      <c r="E53" s="323" t="s">
        <v>378</v>
      </c>
      <c r="F53" s="323" t="s">
        <v>173</v>
      </c>
      <c r="G53" s="323" t="s">
        <v>1054</v>
      </c>
      <c r="H53" s="323" t="s">
        <v>1057</v>
      </c>
    </row>
    <row r="54" spans="5:8" x14ac:dyDescent="0.3">
      <c r="E54" s="323" t="s">
        <v>378</v>
      </c>
      <c r="F54" s="323" t="s">
        <v>173</v>
      </c>
      <c r="G54" s="323" t="s">
        <v>178</v>
      </c>
      <c r="H54" s="323" t="s">
        <v>177</v>
      </c>
    </row>
    <row r="55" spans="5:8" x14ac:dyDescent="0.3">
      <c r="E55" s="323" t="s">
        <v>378</v>
      </c>
      <c r="F55" s="323" t="s">
        <v>173</v>
      </c>
      <c r="G55" s="323" t="s">
        <v>1062</v>
      </c>
      <c r="H55" s="323" t="s">
        <v>1056</v>
      </c>
    </row>
    <row r="56" spans="5:8" x14ac:dyDescent="0.3">
      <c r="E56" s="323" t="s">
        <v>378</v>
      </c>
      <c r="F56" s="323" t="s">
        <v>180</v>
      </c>
      <c r="G56" s="323" t="s">
        <v>984</v>
      </c>
      <c r="H56" s="323" t="s">
        <v>986</v>
      </c>
    </row>
    <row r="57" spans="5:8" x14ac:dyDescent="0.3">
      <c r="E57" s="323" t="s">
        <v>378</v>
      </c>
      <c r="F57" s="323" t="s">
        <v>180</v>
      </c>
      <c r="G57" s="323" t="s">
        <v>985</v>
      </c>
      <c r="H57" s="323" t="s">
        <v>987</v>
      </c>
    </row>
    <row r="58" spans="5:8" x14ac:dyDescent="0.3">
      <c r="E58" s="323" t="s">
        <v>378</v>
      </c>
      <c r="F58" s="323" t="s">
        <v>180</v>
      </c>
      <c r="G58" s="323" t="s">
        <v>286</v>
      </c>
      <c r="H58" s="323" t="s">
        <v>285</v>
      </c>
    </row>
    <row r="59" spans="5:8" x14ac:dyDescent="0.3">
      <c r="E59" s="323" t="s">
        <v>378</v>
      </c>
      <c r="F59" s="323" t="s">
        <v>180</v>
      </c>
      <c r="G59" s="323" t="s">
        <v>181</v>
      </c>
      <c r="H59" s="323" t="s">
        <v>179</v>
      </c>
    </row>
    <row r="60" spans="5:8" x14ac:dyDescent="0.3">
      <c r="E60" s="323" t="s">
        <v>378</v>
      </c>
      <c r="F60" s="323" t="s">
        <v>185</v>
      </c>
      <c r="G60" s="323" t="s">
        <v>192</v>
      </c>
      <c r="H60" s="323" t="s">
        <v>191</v>
      </c>
    </row>
    <row r="61" spans="5:8" x14ac:dyDescent="0.3">
      <c r="E61" s="323" t="s">
        <v>378</v>
      </c>
      <c r="F61" s="323" t="s">
        <v>185</v>
      </c>
      <c r="G61" s="323" t="s">
        <v>12</v>
      </c>
      <c r="H61" s="323" t="s">
        <v>389</v>
      </c>
    </row>
    <row r="62" spans="5:8" x14ac:dyDescent="0.3">
      <c r="E62" s="323" t="s">
        <v>378</v>
      </c>
      <c r="F62" s="323" t="s">
        <v>185</v>
      </c>
      <c r="G62" s="323" t="s">
        <v>194</v>
      </c>
      <c r="H62" s="323" t="s">
        <v>193</v>
      </c>
    </row>
    <row r="63" spans="5:8" x14ac:dyDescent="0.3">
      <c r="E63" s="323" t="s">
        <v>378</v>
      </c>
      <c r="F63" s="323" t="s">
        <v>185</v>
      </c>
      <c r="G63" s="323" t="s">
        <v>1503</v>
      </c>
      <c r="H63" s="323" t="s">
        <v>222</v>
      </c>
    </row>
    <row r="64" spans="5:8" x14ac:dyDescent="0.3">
      <c r="E64" s="323" t="s">
        <v>378</v>
      </c>
      <c r="F64" s="323" t="s">
        <v>185</v>
      </c>
      <c r="G64" s="323" t="s">
        <v>209</v>
      </c>
      <c r="H64" s="323" t="s">
        <v>208</v>
      </c>
    </row>
    <row r="65" spans="5:8" x14ac:dyDescent="0.3">
      <c r="E65" s="323" t="s">
        <v>378</v>
      </c>
      <c r="F65" s="323" t="s">
        <v>185</v>
      </c>
      <c r="G65" s="323" t="s">
        <v>202</v>
      </c>
      <c r="H65" s="323" t="s">
        <v>201</v>
      </c>
    </row>
    <row r="66" spans="5:8" x14ac:dyDescent="0.3">
      <c r="E66" s="323" t="s">
        <v>378</v>
      </c>
      <c r="F66" s="323" t="s">
        <v>185</v>
      </c>
      <c r="G66" s="323" t="s">
        <v>190</v>
      </c>
      <c r="H66" s="323" t="s">
        <v>189</v>
      </c>
    </row>
    <row r="67" spans="5:8" x14ac:dyDescent="0.3">
      <c r="E67" s="323" t="s">
        <v>378</v>
      </c>
      <c r="F67" s="323" t="s">
        <v>185</v>
      </c>
      <c r="G67" s="323" t="s">
        <v>186</v>
      </c>
      <c r="H67" s="323" t="s">
        <v>184</v>
      </c>
    </row>
    <row r="68" spans="5:8" x14ac:dyDescent="0.3">
      <c r="E68" s="323" t="s">
        <v>378</v>
      </c>
      <c r="F68" s="323" t="s">
        <v>185</v>
      </c>
      <c r="G68" s="323" t="s">
        <v>196</v>
      </c>
      <c r="H68" s="323" t="s">
        <v>195</v>
      </c>
    </row>
    <row r="69" spans="5:8" x14ac:dyDescent="0.3">
      <c r="E69" s="323" t="s">
        <v>378</v>
      </c>
      <c r="F69" s="323" t="s">
        <v>185</v>
      </c>
      <c r="G69" s="323" t="s">
        <v>1346</v>
      </c>
      <c r="H69" s="323" t="s">
        <v>228</v>
      </c>
    </row>
    <row r="70" spans="5:8" x14ac:dyDescent="0.3">
      <c r="E70" s="323" t="s">
        <v>378</v>
      </c>
      <c r="F70" s="323" t="s">
        <v>185</v>
      </c>
      <c r="G70" s="323" t="s">
        <v>1504</v>
      </c>
      <c r="H70" s="323" t="s">
        <v>224</v>
      </c>
    </row>
    <row r="71" spans="5:8" x14ac:dyDescent="0.3">
      <c r="E71" s="323" t="s">
        <v>378</v>
      </c>
      <c r="F71" s="323" t="s">
        <v>185</v>
      </c>
      <c r="G71" s="323" t="s">
        <v>474</v>
      </c>
      <c r="H71" s="323" t="s">
        <v>475</v>
      </c>
    </row>
    <row r="72" spans="5:8" x14ac:dyDescent="0.3">
      <c r="E72" s="323" t="s">
        <v>378</v>
      </c>
      <c r="F72" s="323" t="s">
        <v>185</v>
      </c>
      <c r="G72" s="323" t="s">
        <v>1505</v>
      </c>
      <c r="H72" s="323" t="s">
        <v>214</v>
      </c>
    </row>
    <row r="73" spans="5:8" x14ac:dyDescent="0.3">
      <c r="E73" s="323" t="s">
        <v>378</v>
      </c>
      <c r="F73" s="323" t="s">
        <v>185</v>
      </c>
      <c r="G73" s="323" t="s">
        <v>219</v>
      </c>
      <c r="H73" s="323" t="s">
        <v>218</v>
      </c>
    </row>
    <row r="74" spans="5:8" x14ac:dyDescent="0.3">
      <c r="E74" s="323" t="s">
        <v>378</v>
      </c>
      <c r="F74" s="323" t="s">
        <v>185</v>
      </c>
      <c r="G74" s="323" t="s">
        <v>213</v>
      </c>
      <c r="H74" s="323" t="s">
        <v>212</v>
      </c>
    </row>
    <row r="75" spans="5:8" x14ac:dyDescent="0.3">
      <c r="E75" s="323" t="s">
        <v>378</v>
      </c>
      <c r="F75" s="323" t="s">
        <v>237</v>
      </c>
      <c r="G75" s="323" t="s">
        <v>238</v>
      </c>
      <c r="H75" s="323" t="s">
        <v>236</v>
      </c>
    </row>
    <row r="76" spans="5:8" x14ac:dyDescent="0.3">
      <c r="E76" s="323" t="s">
        <v>378</v>
      </c>
      <c r="F76" s="323" t="s">
        <v>237</v>
      </c>
      <c r="G76" s="323" t="s">
        <v>268</v>
      </c>
      <c r="H76" s="323" t="s">
        <v>267</v>
      </c>
    </row>
    <row r="77" spans="5:8" x14ac:dyDescent="0.3">
      <c r="E77" s="323" t="s">
        <v>378</v>
      </c>
      <c r="F77" s="323" t="s">
        <v>237</v>
      </c>
      <c r="G77" s="323" t="s">
        <v>248</v>
      </c>
      <c r="H77" s="323" t="s">
        <v>247</v>
      </c>
    </row>
    <row r="78" spans="5:8" x14ac:dyDescent="0.3">
      <c r="E78" s="323" t="s">
        <v>378</v>
      </c>
      <c r="F78" s="323" t="s">
        <v>237</v>
      </c>
      <c r="G78" s="323" t="s">
        <v>278</v>
      </c>
      <c r="H78" s="323" t="s">
        <v>277</v>
      </c>
    </row>
    <row r="79" spans="5:8" x14ac:dyDescent="0.3">
      <c r="E79" s="323" t="s">
        <v>378</v>
      </c>
      <c r="F79" s="323" t="s">
        <v>237</v>
      </c>
      <c r="G79" s="323" t="s">
        <v>250</v>
      </c>
      <c r="H79" s="323" t="s">
        <v>249</v>
      </c>
    </row>
    <row r="80" spans="5:8" x14ac:dyDescent="0.3">
      <c r="E80" s="323" t="s">
        <v>378</v>
      </c>
      <c r="F80" s="323" t="s">
        <v>237</v>
      </c>
      <c r="G80" s="323" t="s">
        <v>1506</v>
      </c>
      <c r="H80" s="323" t="s">
        <v>273</v>
      </c>
    </row>
    <row r="81" spans="5:8" x14ac:dyDescent="0.3">
      <c r="E81" s="323" t="s">
        <v>378</v>
      </c>
      <c r="F81" s="323" t="s">
        <v>237</v>
      </c>
      <c r="G81" s="323" t="s">
        <v>262</v>
      </c>
      <c r="H81" s="323" t="s">
        <v>261</v>
      </c>
    </row>
    <row r="82" spans="5:8" x14ac:dyDescent="0.3">
      <c r="E82" s="323" t="s">
        <v>378</v>
      </c>
      <c r="F82" s="323" t="s">
        <v>237</v>
      </c>
      <c r="G82" s="323" t="s">
        <v>264</v>
      </c>
      <c r="H82" s="323" t="s">
        <v>263</v>
      </c>
    </row>
    <row r="83" spans="5:8" x14ac:dyDescent="0.3">
      <c r="E83" s="323" t="s">
        <v>378</v>
      </c>
      <c r="F83" s="323" t="s">
        <v>237</v>
      </c>
      <c r="G83" s="323" t="s">
        <v>1507</v>
      </c>
      <c r="H83" s="323" t="s">
        <v>275</v>
      </c>
    </row>
    <row r="84" spans="5:8" x14ac:dyDescent="0.3">
      <c r="E84" s="323" t="s">
        <v>378</v>
      </c>
      <c r="F84" s="323" t="s">
        <v>237</v>
      </c>
      <c r="G84" s="323" t="s">
        <v>1031</v>
      </c>
      <c r="H84" s="323" t="s">
        <v>241</v>
      </c>
    </row>
    <row r="85" spans="5:8" x14ac:dyDescent="0.3">
      <c r="E85" s="323" t="s">
        <v>378</v>
      </c>
      <c r="F85" s="323" t="s">
        <v>237</v>
      </c>
      <c r="G85" s="323" t="s">
        <v>260</v>
      </c>
      <c r="H85" s="323" t="s">
        <v>259</v>
      </c>
    </row>
    <row r="86" spans="5:8" x14ac:dyDescent="0.3">
      <c r="E86" s="323" t="s">
        <v>378</v>
      </c>
      <c r="F86" s="323" t="s">
        <v>237</v>
      </c>
      <c r="G86" s="323" t="s">
        <v>280</v>
      </c>
      <c r="H86" s="323" t="s">
        <v>279</v>
      </c>
    </row>
    <row r="87" spans="5:8" x14ac:dyDescent="0.3">
      <c r="E87" s="323" t="s">
        <v>378</v>
      </c>
      <c r="F87" s="323" t="s">
        <v>237</v>
      </c>
      <c r="G87" s="323" t="s">
        <v>1508</v>
      </c>
      <c r="H87" s="323" t="s">
        <v>245</v>
      </c>
    </row>
    <row r="88" spans="5:8" x14ac:dyDescent="0.3">
      <c r="E88" s="323" t="s">
        <v>378</v>
      </c>
      <c r="F88" s="323" t="s">
        <v>237</v>
      </c>
      <c r="G88" s="323" t="s">
        <v>256</v>
      </c>
      <c r="H88" s="323" t="s">
        <v>255</v>
      </c>
    </row>
    <row r="89" spans="5:8" x14ac:dyDescent="0.3">
      <c r="E89" s="323" t="s">
        <v>378</v>
      </c>
      <c r="F89" s="323" t="s">
        <v>237</v>
      </c>
      <c r="G89" s="323" t="s">
        <v>284</v>
      </c>
      <c r="H89" s="323" t="s">
        <v>283</v>
      </c>
    </row>
    <row r="90" spans="5:8" x14ac:dyDescent="0.3">
      <c r="E90" s="323" t="s">
        <v>378</v>
      </c>
      <c r="F90" s="323" t="s">
        <v>237</v>
      </c>
      <c r="G90" s="323" t="s">
        <v>1509</v>
      </c>
      <c r="H90" s="323" t="s">
        <v>239</v>
      </c>
    </row>
    <row r="91" spans="5:8" x14ac:dyDescent="0.3">
      <c r="E91" s="323" t="s">
        <v>378</v>
      </c>
      <c r="F91" s="323" t="s">
        <v>237</v>
      </c>
      <c r="G91" s="323" t="s">
        <v>258</v>
      </c>
      <c r="H91" s="323" t="s">
        <v>257</v>
      </c>
    </row>
    <row r="92" spans="5:8" x14ac:dyDescent="0.3">
      <c r="E92" s="323" t="s">
        <v>378</v>
      </c>
      <c r="F92" s="323" t="s">
        <v>237</v>
      </c>
      <c r="G92" s="323" t="s">
        <v>252</v>
      </c>
      <c r="H92" s="323" t="s">
        <v>251</v>
      </c>
    </row>
    <row r="93" spans="5:8" x14ac:dyDescent="0.3">
      <c r="E93" s="323" t="s">
        <v>378</v>
      </c>
      <c r="F93" s="323" t="s">
        <v>237</v>
      </c>
      <c r="G93" s="323" t="s">
        <v>254</v>
      </c>
      <c r="H93" s="323" t="s">
        <v>253</v>
      </c>
    </row>
    <row r="94" spans="5:8" x14ac:dyDescent="0.3">
      <c r="E94" s="323" t="s">
        <v>378</v>
      </c>
      <c r="F94" s="323" t="s">
        <v>237</v>
      </c>
      <c r="G94" s="323" t="s">
        <v>270</v>
      </c>
      <c r="H94" s="323" t="s">
        <v>269</v>
      </c>
    </row>
    <row r="95" spans="5:8" x14ac:dyDescent="0.3">
      <c r="E95" s="323" t="s">
        <v>378</v>
      </c>
      <c r="F95" s="323" t="s">
        <v>237</v>
      </c>
      <c r="G95" s="323" t="s">
        <v>272</v>
      </c>
      <c r="H95" s="323" t="s">
        <v>271</v>
      </c>
    </row>
    <row r="96" spans="5:8" x14ac:dyDescent="0.3">
      <c r="E96" s="323" t="s">
        <v>378</v>
      </c>
      <c r="F96" s="323" t="s">
        <v>299</v>
      </c>
      <c r="G96" s="323" t="s">
        <v>892</v>
      </c>
      <c r="H96" s="323" t="s">
        <v>893</v>
      </c>
    </row>
    <row r="97" spans="5:8" x14ac:dyDescent="0.3">
      <c r="E97" s="323" t="s">
        <v>378</v>
      </c>
      <c r="F97" s="323" t="s">
        <v>299</v>
      </c>
      <c r="G97" s="323" t="s">
        <v>1046</v>
      </c>
      <c r="H97" s="323" t="s">
        <v>1045</v>
      </c>
    </row>
    <row r="98" spans="5:8" x14ac:dyDescent="0.3">
      <c r="E98" s="323" t="s">
        <v>378</v>
      </c>
      <c r="F98" s="323" t="s">
        <v>299</v>
      </c>
      <c r="G98" s="323" t="s">
        <v>300</v>
      </c>
      <c r="H98" s="323" t="s">
        <v>298</v>
      </c>
    </row>
    <row r="99" spans="5:8" x14ac:dyDescent="0.3">
      <c r="E99" s="323" t="s">
        <v>378</v>
      </c>
      <c r="F99" s="323" t="s">
        <v>301</v>
      </c>
      <c r="G99" s="323" t="s">
        <v>305</v>
      </c>
      <c r="H99" s="323" t="s">
        <v>304</v>
      </c>
    </row>
    <row r="100" spans="5:8" x14ac:dyDescent="0.3">
      <c r="E100" s="323" t="s">
        <v>378</v>
      </c>
      <c r="F100" s="323" t="s">
        <v>301</v>
      </c>
      <c r="G100" s="323" t="s">
        <v>303</v>
      </c>
      <c r="H100" s="323" t="s">
        <v>302</v>
      </c>
    </row>
    <row r="101" spans="5:8" x14ac:dyDescent="0.3">
      <c r="E101" s="323" t="s">
        <v>378</v>
      </c>
      <c r="F101" s="323" t="s">
        <v>301</v>
      </c>
      <c r="G101" s="323" t="s">
        <v>307</v>
      </c>
      <c r="H101" s="323" t="s">
        <v>306</v>
      </c>
    </row>
    <row r="102" spans="5:8" x14ac:dyDescent="0.3">
      <c r="E102" s="323" t="s">
        <v>378</v>
      </c>
      <c r="F102" s="323" t="s">
        <v>746</v>
      </c>
      <c r="G102" s="323" t="s">
        <v>1066</v>
      </c>
      <c r="H102" s="323" t="s">
        <v>1067</v>
      </c>
    </row>
    <row r="103" spans="5:8" x14ac:dyDescent="0.3">
      <c r="E103" s="323" t="s">
        <v>378</v>
      </c>
      <c r="F103" s="323" t="s">
        <v>746</v>
      </c>
      <c r="G103" s="323" t="s">
        <v>1068</v>
      </c>
      <c r="H103" s="323" t="s">
        <v>1069</v>
      </c>
    </row>
    <row r="104" spans="5:8" x14ac:dyDescent="0.3">
      <c r="E104" s="323" t="s">
        <v>378</v>
      </c>
      <c r="F104" s="323" t="s">
        <v>746</v>
      </c>
      <c r="G104" s="323" t="s">
        <v>746</v>
      </c>
      <c r="H104" s="323" t="s">
        <v>750</v>
      </c>
    </row>
    <row r="105" spans="5:8" x14ac:dyDescent="0.3">
      <c r="E105" s="323" t="s">
        <v>378</v>
      </c>
      <c r="F105" s="323" t="s">
        <v>1137</v>
      </c>
      <c r="G105" s="323" t="s">
        <v>1413</v>
      </c>
      <c r="H105" s="323" t="s">
        <v>1416</v>
      </c>
    </row>
    <row r="106" spans="5:8" x14ac:dyDescent="0.3">
      <c r="E106" s="323" t="s">
        <v>378</v>
      </c>
      <c r="F106" s="323" t="s">
        <v>1137</v>
      </c>
      <c r="G106" s="323" t="s">
        <v>1404</v>
      </c>
      <c r="H106" s="323" t="s">
        <v>1417</v>
      </c>
    </row>
    <row r="107" spans="5:8" x14ac:dyDescent="0.3">
      <c r="E107" s="323" t="s">
        <v>378</v>
      </c>
      <c r="F107" s="323" t="s">
        <v>1137</v>
      </c>
      <c r="G107" s="323" t="s">
        <v>1405</v>
      </c>
      <c r="H107" s="323" t="s">
        <v>1418</v>
      </c>
    </row>
    <row r="108" spans="5:8" x14ac:dyDescent="0.3">
      <c r="E108" s="323" t="s">
        <v>378</v>
      </c>
      <c r="F108" s="323" t="s">
        <v>1137</v>
      </c>
      <c r="G108" s="323" t="s">
        <v>1406</v>
      </c>
      <c r="H108" s="323" t="s">
        <v>1419</v>
      </c>
    </row>
    <row r="109" spans="5:8" x14ac:dyDescent="0.3">
      <c r="E109" s="323" t="s">
        <v>378</v>
      </c>
      <c r="F109" s="323" t="s">
        <v>309</v>
      </c>
      <c r="G109" s="323" t="s">
        <v>333</v>
      </c>
      <c r="H109" s="323" t="s">
        <v>332</v>
      </c>
    </row>
    <row r="110" spans="5:8" x14ac:dyDescent="0.3">
      <c r="E110" s="323" t="s">
        <v>378</v>
      </c>
      <c r="F110" s="323" t="s">
        <v>309</v>
      </c>
      <c r="G110" s="323" t="s">
        <v>349</v>
      </c>
      <c r="H110" s="323" t="s">
        <v>348</v>
      </c>
    </row>
    <row r="111" spans="5:8" x14ac:dyDescent="0.3">
      <c r="E111" s="323" t="s">
        <v>378</v>
      </c>
      <c r="F111" s="323" t="s">
        <v>309</v>
      </c>
      <c r="G111" s="323" t="s">
        <v>312</v>
      </c>
      <c r="H111" s="323" t="s">
        <v>311</v>
      </c>
    </row>
    <row r="112" spans="5:8" x14ac:dyDescent="0.3">
      <c r="E112" s="323" t="s">
        <v>378</v>
      </c>
      <c r="F112" s="323" t="s">
        <v>309</v>
      </c>
      <c r="G112" s="323" t="s">
        <v>337</v>
      </c>
      <c r="H112" s="323" t="s">
        <v>336</v>
      </c>
    </row>
    <row r="113" spans="5:8" x14ac:dyDescent="0.3">
      <c r="E113" s="323" t="s">
        <v>378</v>
      </c>
      <c r="F113" s="323" t="s">
        <v>309</v>
      </c>
      <c r="G113" s="323" t="s">
        <v>327</v>
      </c>
      <c r="H113" s="323" t="s">
        <v>326</v>
      </c>
    </row>
    <row r="114" spans="5:8" x14ac:dyDescent="0.3">
      <c r="E114" s="323" t="s">
        <v>378</v>
      </c>
      <c r="F114" s="323" t="s">
        <v>309</v>
      </c>
      <c r="G114" s="323" t="s">
        <v>340</v>
      </c>
      <c r="H114" s="323" t="s">
        <v>339</v>
      </c>
    </row>
    <row r="115" spans="5:8" x14ac:dyDescent="0.3">
      <c r="E115" s="323" t="s">
        <v>378</v>
      </c>
      <c r="F115" s="323" t="s">
        <v>309</v>
      </c>
      <c r="G115" s="323" t="s">
        <v>319</v>
      </c>
      <c r="H115" s="323" t="s">
        <v>318</v>
      </c>
    </row>
    <row r="116" spans="5:8" x14ac:dyDescent="0.3">
      <c r="E116" s="323" t="s">
        <v>378</v>
      </c>
      <c r="F116" s="323" t="s">
        <v>309</v>
      </c>
      <c r="G116" s="323" t="s">
        <v>325</v>
      </c>
      <c r="H116" s="323" t="s">
        <v>324</v>
      </c>
    </row>
    <row r="117" spans="5:8" x14ac:dyDescent="0.3">
      <c r="E117" s="323" t="s">
        <v>378</v>
      </c>
      <c r="F117" s="323" t="s">
        <v>309</v>
      </c>
      <c r="G117" s="323" t="s">
        <v>323</v>
      </c>
      <c r="H117" s="323" t="s">
        <v>322</v>
      </c>
    </row>
    <row r="118" spans="5:8" x14ac:dyDescent="0.3">
      <c r="E118" s="323" t="s">
        <v>378</v>
      </c>
      <c r="F118" s="323" t="s">
        <v>309</v>
      </c>
      <c r="G118" s="323" t="s">
        <v>345</v>
      </c>
      <c r="H118" s="323" t="s">
        <v>344</v>
      </c>
    </row>
    <row r="119" spans="5:8" x14ac:dyDescent="0.3">
      <c r="E119" s="323" t="s">
        <v>378</v>
      </c>
      <c r="F119" s="323" t="s">
        <v>309</v>
      </c>
      <c r="G119" s="323" t="s">
        <v>751</v>
      </c>
      <c r="H119" s="323" t="s">
        <v>752</v>
      </c>
    </row>
    <row r="120" spans="5:8" x14ac:dyDescent="0.3">
      <c r="E120" s="323" t="s">
        <v>378</v>
      </c>
      <c r="F120" s="323" t="s">
        <v>309</v>
      </c>
      <c r="G120" s="323" t="s">
        <v>317</v>
      </c>
      <c r="H120" s="323" t="s">
        <v>316</v>
      </c>
    </row>
    <row r="121" spans="5:8" x14ac:dyDescent="0.3">
      <c r="E121" s="323" t="s">
        <v>378</v>
      </c>
      <c r="F121" s="323" t="s">
        <v>309</v>
      </c>
      <c r="G121" s="323" t="s">
        <v>342</v>
      </c>
      <c r="H121" s="323" t="s">
        <v>341</v>
      </c>
    </row>
    <row r="122" spans="5:8" x14ac:dyDescent="0.3">
      <c r="E122" s="323" t="s">
        <v>378</v>
      </c>
      <c r="F122" s="323" t="s">
        <v>309</v>
      </c>
      <c r="G122" s="323" t="s">
        <v>347</v>
      </c>
      <c r="H122" s="323" t="s">
        <v>346</v>
      </c>
    </row>
    <row r="123" spans="5:8" x14ac:dyDescent="0.3">
      <c r="E123" s="323" t="s">
        <v>378</v>
      </c>
      <c r="F123" s="323" t="s">
        <v>309</v>
      </c>
      <c r="G123" s="323" t="s">
        <v>1510</v>
      </c>
      <c r="H123" s="323" t="s">
        <v>314</v>
      </c>
    </row>
    <row r="124" spans="5:8" x14ac:dyDescent="0.3">
      <c r="E124" s="323" t="s">
        <v>378</v>
      </c>
      <c r="F124" s="323" t="s">
        <v>309</v>
      </c>
      <c r="G124" s="323" t="s">
        <v>321</v>
      </c>
      <c r="H124" s="323" t="s">
        <v>320</v>
      </c>
    </row>
    <row r="125" spans="5:8" x14ac:dyDescent="0.3">
      <c r="E125" s="323" t="s">
        <v>378</v>
      </c>
      <c r="F125" s="323" t="s">
        <v>309</v>
      </c>
      <c r="G125" s="323" t="s">
        <v>329</v>
      </c>
      <c r="H125" s="323" t="s">
        <v>328</v>
      </c>
    </row>
    <row r="126" spans="5:8" x14ac:dyDescent="0.3">
      <c r="E126" s="323" t="s">
        <v>378</v>
      </c>
      <c r="F126" s="323" t="s">
        <v>309</v>
      </c>
      <c r="G126" s="323" t="s">
        <v>1511</v>
      </c>
      <c r="H126" s="323" t="s">
        <v>334</v>
      </c>
    </row>
    <row r="127" spans="5:8" x14ac:dyDescent="0.3">
      <c r="E127" s="323" t="s">
        <v>378</v>
      </c>
      <c r="F127" s="323" t="s">
        <v>309</v>
      </c>
      <c r="G127" s="323" t="s">
        <v>1030</v>
      </c>
      <c r="H127" s="323" t="s">
        <v>343</v>
      </c>
    </row>
    <row r="128" spans="5:8" x14ac:dyDescent="0.3">
      <c r="E128" s="323" t="s">
        <v>378</v>
      </c>
      <c r="F128" s="323" t="s">
        <v>309</v>
      </c>
      <c r="G128" s="323" t="s">
        <v>353</v>
      </c>
      <c r="H128" s="323" t="s">
        <v>352</v>
      </c>
    </row>
    <row r="129" spans="5:8" x14ac:dyDescent="0.3">
      <c r="E129" s="323" t="s">
        <v>378</v>
      </c>
      <c r="F129" s="323" t="s">
        <v>309</v>
      </c>
      <c r="G129" s="323" t="s">
        <v>1512</v>
      </c>
      <c r="H129" s="323" t="s">
        <v>338</v>
      </c>
    </row>
    <row r="130" spans="5:8" x14ac:dyDescent="0.3">
      <c r="E130" s="323" t="s">
        <v>378</v>
      </c>
      <c r="F130" s="323" t="s">
        <v>309</v>
      </c>
      <c r="G130" s="323" t="s">
        <v>351</v>
      </c>
      <c r="H130" s="323" t="s">
        <v>350</v>
      </c>
    </row>
    <row r="131" spans="5:8" x14ac:dyDescent="0.3">
      <c r="E131" s="323" t="s">
        <v>378</v>
      </c>
      <c r="F131" s="323" t="s">
        <v>309</v>
      </c>
      <c r="G131" s="323" t="s">
        <v>1513</v>
      </c>
      <c r="H131" s="323" t="s">
        <v>1267</v>
      </c>
    </row>
    <row r="132" spans="5:8" x14ac:dyDescent="0.3">
      <c r="E132" s="323" t="s">
        <v>378</v>
      </c>
      <c r="F132" s="323" t="s">
        <v>309</v>
      </c>
      <c r="G132" s="323" t="s">
        <v>1258</v>
      </c>
      <c r="H132" s="323" t="s">
        <v>1255</v>
      </c>
    </row>
    <row r="133" spans="5:8" x14ac:dyDescent="0.3">
      <c r="E133" s="323" t="s">
        <v>506</v>
      </c>
      <c r="F133" s="323" t="s">
        <v>719</v>
      </c>
      <c r="G133" s="323" t="s">
        <v>535</v>
      </c>
      <c r="H133" s="323" t="s">
        <v>772</v>
      </c>
    </row>
    <row r="134" spans="5:8" x14ac:dyDescent="0.3">
      <c r="E134" s="323" t="s">
        <v>506</v>
      </c>
      <c r="F134" s="323" t="s">
        <v>719</v>
      </c>
      <c r="G134" s="323" t="s">
        <v>1514</v>
      </c>
      <c r="H134" s="323" t="s">
        <v>1044</v>
      </c>
    </row>
    <row r="135" spans="5:8" x14ac:dyDescent="0.3">
      <c r="E135" s="323" t="s">
        <v>506</v>
      </c>
      <c r="F135" s="323" t="s">
        <v>146</v>
      </c>
      <c r="G135" s="323" t="s">
        <v>369</v>
      </c>
      <c r="H135" s="323" t="s">
        <v>147</v>
      </c>
    </row>
    <row r="136" spans="5:8" x14ac:dyDescent="0.3">
      <c r="E136" s="323" t="s">
        <v>506</v>
      </c>
      <c r="F136" s="323" t="s">
        <v>146</v>
      </c>
      <c r="G136" s="323" t="s">
        <v>149</v>
      </c>
      <c r="H136" s="323" t="s">
        <v>148</v>
      </c>
    </row>
    <row r="137" spans="5:8" x14ac:dyDescent="0.3">
      <c r="E137" s="323" t="s">
        <v>506</v>
      </c>
      <c r="F137" s="323" t="s">
        <v>146</v>
      </c>
      <c r="G137" s="323" t="s">
        <v>367</v>
      </c>
      <c r="H137" s="323" t="s">
        <v>381</v>
      </c>
    </row>
    <row r="138" spans="5:8" x14ac:dyDescent="0.3">
      <c r="E138" s="323" t="s">
        <v>506</v>
      </c>
      <c r="F138" s="323" t="s">
        <v>146</v>
      </c>
      <c r="G138" s="323" t="s">
        <v>368</v>
      </c>
      <c r="H138" s="323" t="s">
        <v>382</v>
      </c>
    </row>
    <row r="139" spans="5:8" x14ac:dyDescent="0.3">
      <c r="E139" s="323" t="s">
        <v>506</v>
      </c>
      <c r="F139" s="323" t="s">
        <v>146</v>
      </c>
      <c r="G139" s="323" t="s">
        <v>366</v>
      </c>
      <c r="H139" s="323" t="s">
        <v>383</v>
      </c>
    </row>
    <row r="140" spans="5:8" x14ac:dyDescent="0.3">
      <c r="E140" s="323" t="s">
        <v>506</v>
      </c>
      <c r="F140" s="323" t="s">
        <v>146</v>
      </c>
      <c r="G140" s="323" t="s">
        <v>1515</v>
      </c>
      <c r="H140" s="323" t="s">
        <v>385</v>
      </c>
    </row>
    <row r="141" spans="5:8" x14ac:dyDescent="0.3">
      <c r="E141" s="323" t="s">
        <v>506</v>
      </c>
      <c r="F141" s="323" t="s">
        <v>146</v>
      </c>
      <c r="G141" s="323" t="s">
        <v>1516</v>
      </c>
      <c r="H141" s="323" t="s">
        <v>942</v>
      </c>
    </row>
    <row r="142" spans="5:8" x14ac:dyDescent="0.3">
      <c r="E142" s="323" t="s">
        <v>506</v>
      </c>
      <c r="F142" s="323" t="s">
        <v>146</v>
      </c>
      <c r="G142" s="323" t="s">
        <v>1082</v>
      </c>
      <c r="H142" s="323" t="s">
        <v>1083</v>
      </c>
    </row>
    <row r="143" spans="5:8" x14ac:dyDescent="0.3">
      <c r="E143" s="323" t="s">
        <v>506</v>
      </c>
      <c r="F143" s="323" t="s">
        <v>146</v>
      </c>
      <c r="G143" s="323" t="s">
        <v>1517</v>
      </c>
      <c r="H143" s="323" t="s">
        <v>1121</v>
      </c>
    </row>
    <row r="144" spans="5:8" x14ac:dyDescent="0.3">
      <c r="E144" s="323" t="s">
        <v>506</v>
      </c>
      <c r="F144" s="323" t="s">
        <v>146</v>
      </c>
      <c r="G144" s="323" t="s">
        <v>1132</v>
      </c>
      <c r="H144" s="323" t="s">
        <v>1126</v>
      </c>
    </row>
    <row r="145" spans="5:8" x14ac:dyDescent="0.3">
      <c r="E145" s="323" t="s">
        <v>506</v>
      </c>
      <c r="F145" s="323" t="s">
        <v>146</v>
      </c>
      <c r="G145" s="323" t="s">
        <v>1147</v>
      </c>
      <c r="H145" s="323" t="s">
        <v>1128</v>
      </c>
    </row>
    <row r="146" spans="5:8" x14ac:dyDescent="0.3">
      <c r="E146" s="323" t="s">
        <v>506</v>
      </c>
      <c r="F146" s="323" t="s">
        <v>146</v>
      </c>
      <c r="G146" s="323" t="s">
        <v>1242</v>
      </c>
      <c r="H146" s="323" t="s">
        <v>1243</v>
      </c>
    </row>
    <row r="147" spans="5:8" x14ac:dyDescent="0.3">
      <c r="E147" s="323" t="s">
        <v>506</v>
      </c>
      <c r="F147" s="323" t="s">
        <v>146</v>
      </c>
      <c r="G147" s="323" t="s">
        <v>1518</v>
      </c>
      <c r="H147" s="323" t="s">
        <v>1232</v>
      </c>
    </row>
    <row r="148" spans="5:8" x14ac:dyDescent="0.3">
      <c r="E148" s="323" t="s">
        <v>506</v>
      </c>
      <c r="F148" s="323" t="s">
        <v>166</v>
      </c>
      <c r="G148" s="323" t="s">
        <v>167</v>
      </c>
      <c r="H148" s="323" t="s">
        <v>165</v>
      </c>
    </row>
    <row r="149" spans="5:8" x14ac:dyDescent="0.3">
      <c r="E149" s="323" t="s">
        <v>506</v>
      </c>
      <c r="F149" s="323" t="s">
        <v>166</v>
      </c>
      <c r="G149" s="323" t="s">
        <v>1519</v>
      </c>
      <c r="H149" s="323" t="s">
        <v>761</v>
      </c>
    </row>
    <row r="150" spans="5:8" x14ac:dyDescent="0.3">
      <c r="E150" s="323" t="s">
        <v>506</v>
      </c>
      <c r="F150" s="323" t="s">
        <v>166</v>
      </c>
      <c r="G150" s="323" t="s">
        <v>1141</v>
      </c>
      <c r="H150" s="323" t="s">
        <v>1123</v>
      </c>
    </row>
    <row r="151" spans="5:8" x14ac:dyDescent="0.3">
      <c r="E151" s="323" t="s">
        <v>506</v>
      </c>
      <c r="F151" s="323" t="s">
        <v>230</v>
      </c>
      <c r="G151" s="323" t="s">
        <v>903</v>
      </c>
      <c r="H151" s="323" t="s">
        <v>904</v>
      </c>
    </row>
    <row r="152" spans="5:8" x14ac:dyDescent="0.3">
      <c r="E152" s="323" t="s">
        <v>506</v>
      </c>
      <c r="F152" s="323" t="s">
        <v>230</v>
      </c>
      <c r="G152" s="323" t="s">
        <v>913</v>
      </c>
      <c r="H152" s="323" t="s">
        <v>914</v>
      </c>
    </row>
    <row r="153" spans="5:8" x14ac:dyDescent="0.3">
      <c r="E153" s="323" t="s">
        <v>506</v>
      </c>
      <c r="F153" s="323" t="s">
        <v>230</v>
      </c>
      <c r="G153" s="323" t="s">
        <v>716</v>
      </c>
      <c r="H153" s="323" t="s">
        <v>1247</v>
      </c>
    </row>
    <row r="154" spans="5:8" x14ac:dyDescent="0.3">
      <c r="E154" s="323" t="s">
        <v>506</v>
      </c>
      <c r="F154" s="323" t="s">
        <v>230</v>
      </c>
      <c r="G154" s="323" t="s">
        <v>359</v>
      </c>
      <c r="H154" s="323" t="s">
        <v>771</v>
      </c>
    </row>
    <row r="155" spans="5:8" x14ac:dyDescent="0.3">
      <c r="E155" s="323" t="s">
        <v>506</v>
      </c>
      <c r="F155" s="323" t="s">
        <v>288</v>
      </c>
      <c r="G155" s="323" t="s">
        <v>289</v>
      </c>
      <c r="H155" s="323" t="s">
        <v>287</v>
      </c>
    </row>
    <row r="156" spans="5:8" x14ac:dyDescent="0.3">
      <c r="E156" s="323" t="s">
        <v>506</v>
      </c>
      <c r="F156" s="323" t="s">
        <v>288</v>
      </c>
      <c r="G156" s="323" t="s">
        <v>1520</v>
      </c>
      <c r="H156" s="323" t="s">
        <v>294</v>
      </c>
    </row>
    <row r="157" spans="5:8" x14ac:dyDescent="0.3">
      <c r="E157" s="323" t="s">
        <v>506</v>
      </c>
      <c r="F157" s="323" t="s">
        <v>288</v>
      </c>
      <c r="G157" s="323" t="s">
        <v>291</v>
      </c>
      <c r="H157" s="323" t="s">
        <v>290</v>
      </c>
    </row>
    <row r="158" spans="5:8" x14ac:dyDescent="0.3">
      <c r="E158" s="323" t="s">
        <v>506</v>
      </c>
      <c r="F158" s="323" t="s">
        <v>288</v>
      </c>
      <c r="G158" s="323" t="s">
        <v>1521</v>
      </c>
      <c r="H158" s="323" t="s">
        <v>906</v>
      </c>
    </row>
    <row r="159" spans="5:8" x14ac:dyDescent="0.3">
      <c r="E159" s="323" t="s">
        <v>506</v>
      </c>
      <c r="F159" s="323" t="s">
        <v>288</v>
      </c>
      <c r="G159" s="323" t="s">
        <v>1522</v>
      </c>
      <c r="H159" s="323" t="s">
        <v>910</v>
      </c>
    </row>
    <row r="160" spans="5:8" x14ac:dyDescent="0.3">
      <c r="E160" s="323" t="s">
        <v>506</v>
      </c>
      <c r="F160" s="323" t="s">
        <v>288</v>
      </c>
      <c r="G160" s="323" t="s">
        <v>1131</v>
      </c>
      <c r="H160" s="323" t="s">
        <v>1125</v>
      </c>
    </row>
    <row r="161" spans="5:8" x14ac:dyDescent="0.3">
      <c r="E161" s="323" t="s">
        <v>506</v>
      </c>
      <c r="F161" s="323" t="s">
        <v>297</v>
      </c>
      <c r="G161" s="323" t="s">
        <v>759</v>
      </c>
      <c r="H161" s="323" t="s">
        <v>296</v>
      </c>
    </row>
    <row r="162" spans="5:8" x14ac:dyDescent="0.3">
      <c r="E162" s="323" t="s">
        <v>506</v>
      </c>
      <c r="F162" s="323" t="s">
        <v>297</v>
      </c>
      <c r="G162" s="323" t="s">
        <v>1138</v>
      </c>
      <c r="H162" s="323" t="s">
        <v>1122</v>
      </c>
    </row>
    <row r="163" spans="5:8" x14ac:dyDescent="0.3">
      <c r="E163" s="323" t="s">
        <v>506</v>
      </c>
      <c r="F163" s="323" t="s">
        <v>297</v>
      </c>
      <c r="G163" s="323" t="s">
        <v>1189</v>
      </c>
      <c r="H163" s="323" t="s">
        <v>1171</v>
      </c>
    </row>
    <row r="164" spans="5:8" x14ac:dyDescent="0.3">
      <c r="E164" s="323" t="s">
        <v>506</v>
      </c>
      <c r="F164" s="323" t="s">
        <v>297</v>
      </c>
      <c r="G164" s="323" t="s">
        <v>1523</v>
      </c>
      <c r="H164" s="323" t="s">
        <v>1280</v>
      </c>
    </row>
    <row r="165" spans="5:8" x14ac:dyDescent="0.3">
      <c r="E165" s="323" t="s">
        <v>506</v>
      </c>
      <c r="F165" s="323" t="s">
        <v>297</v>
      </c>
      <c r="G165" s="323" t="s">
        <v>1192</v>
      </c>
      <c r="H165" s="323" t="s">
        <v>1174</v>
      </c>
    </row>
    <row r="166" spans="5:8" x14ac:dyDescent="0.3">
      <c r="E166" s="323" t="s">
        <v>506</v>
      </c>
      <c r="F166" s="323" t="s">
        <v>1201</v>
      </c>
      <c r="G166" s="323" t="s">
        <v>1198</v>
      </c>
      <c r="H166" s="323" t="s">
        <v>1186</v>
      </c>
    </row>
    <row r="167" spans="5:8" x14ac:dyDescent="0.3">
      <c r="E167" s="323" t="s">
        <v>506</v>
      </c>
      <c r="F167" s="323" t="s">
        <v>494</v>
      </c>
      <c r="G167" s="323" t="s">
        <v>1590</v>
      </c>
    </row>
    <row r="168" spans="5:8" x14ac:dyDescent="0.3">
      <c r="G168" s="323" t="s">
        <v>1591</v>
      </c>
    </row>
    <row r="169" spans="5:8" x14ac:dyDescent="0.3">
      <c r="G169" s="323" t="s">
        <v>1592</v>
      </c>
    </row>
    <row r="170" spans="5:8" x14ac:dyDescent="0.3">
      <c r="G170" s="323" t="s">
        <v>1593</v>
      </c>
    </row>
    <row r="171" spans="5:8" x14ac:dyDescent="0.3">
      <c r="G171" s="323" t="s">
        <v>1595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7" sqref="B27"/>
    </sheetView>
  </sheetViews>
  <sheetFormatPr defaultRowHeight="14.4" x14ac:dyDescent="0.3"/>
  <cols>
    <col min="1" max="1" width="22.6640625" bestFit="1" customWidth="1"/>
    <col min="2" max="2" width="33.88671875" bestFit="1" customWidth="1"/>
    <col min="3" max="3" width="34" bestFit="1" customWidth="1"/>
    <col min="4" max="4" width="36.6640625" bestFit="1" customWidth="1"/>
    <col min="5" max="5" width="18" bestFit="1" customWidth="1"/>
    <col min="6" max="6" width="3.5546875" bestFit="1" customWidth="1"/>
    <col min="10" max="10" width="14" customWidth="1"/>
    <col min="11" max="11" width="14" style="38" customWidth="1"/>
    <col min="12" max="12" width="15.33203125" customWidth="1"/>
    <col min="13" max="13" width="15.33203125" style="38" customWidth="1"/>
    <col min="14" max="14" width="14.88671875" customWidth="1"/>
    <col min="16" max="16" width="22.5546875" customWidth="1"/>
    <col min="17" max="17" width="21.44140625" customWidth="1"/>
  </cols>
  <sheetData>
    <row r="1" spans="1:19" s="11" customFormat="1" x14ac:dyDescent="0.3">
      <c r="A1" s="11" t="s">
        <v>446</v>
      </c>
      <c r="B1" s="11" t="s">
        <v>448</v>
      </c>
      <c r="C1" s="11" t="s">
        <v>447</v>
      </c>
      <c r="D1" s="11" t="s">
        <v>406</v>
      </c>
      <c r="E1" s="11" t="s">
        <v>450</v>
      </c>
      <c r="F1" s="11" t="s">
        <v>449</v>
      </c>
      <c r="J1" s="2" t="s">
        <v>392</v>
      </c>
      <c r="K1" s="2"/>
      <c r="L1" s="2" t="s">
        <v>378</v>
      </c>
      <c r="M1" s="2"/>
      <c r="N1" s="2" t="s">
        <v>506</v>
      </c>
      <c r="O1" s="2"/>
      <c r="P1" s="2" t="s">
        <v>398</v>
      </c>
      <c r="Q1" s="2" t="s">
        <v>459</v>
      </c>
      <c r="R1"/>
      <c r="S1" s="2" t="s">
        <v>1070</v>
      </c>
    </row>
    <row r="2" spans="1:19" x14ac:dyDescent="0.3">
      <c r="A2" t="s">
        <v>415</v>
      </c>
      <c r="B2" t="s">
        <v>439</v>
      </c>
      <c r="C2" t="s">
        <v>429</v>
      </c>
      <c r="D2" t="s">
        <v>432</v>
      </c>
      <c r="E2" s="38">
        <v>12</v>
      </c>
      <c r="F2">
        <v>2</v>
      </c>
      <c r="J2" s="13" t="s">
        <v>378</v>
      </c>
      <c r="K2" s="13"/>
      <c r="L2" s="13" t="s">
        <v>5</v>
      </c>
      <c r="M2" s="13"/>
      <c r="N2" s="13" t="s">
        <v>146</v>
      </c>
      <c r="O2" s="13"/>
      <c r="P2" s="13" t="s">
        <v>393</v>
      </c>
      <c r="Q2" s="13" t="s">
        <v>454</v>
      </c>
      <c r="S2" t="s">
        <v>1071</v>
      </c>
    </row>
    <row r="3" spans="1:19" x14ac:dyDescent="0.3">
      <c r="A3" t="s">
        <v>1016</v>
      </c>
      <c r="B3" t="s">
        <v>1018</v>
      </c>
      <c r="C3" t="s">
        <v>1019</v>
      </c>
      <c r="D3" t="s">
        <v>1020</v>
      </c>
      <c r="E3" s="38">
        <v>12</v>
      </c>
      <c r="F3">
        <v>1</v>
      </c>
      <c r="J3" s="13" t="s">
        <v>379</v>
      </c>
      <c r="K3" s="13"/>
      <c r="L3" s="13" t="s">
        <v>27</v>
      </c>
      <c r="M3" s="13"/>
      <c r="N3" s="13" t="s">
        <v>166</v>
      </c>
      <c r="O3" s="13"/>
      <c r="P3" s="13" t="s">
        <v>394</v>
      </c>
      <c r="Q3" s="13" t="s">
        <v>455</v>
      </c>
      <c r="S3" t="s">
        <v>1072</v>
      </c>
    </row>
    <row r="4" spans="1:19" x14ac:dyDescent="0.3">
      <c r="A4" t="s">
        <v>421</v>
      </c>
      <c r="B4" t="s">
        <v>440</v>
      </c>
      <c r="C4" t="s">
        <v>425</v>
      </c>
      <c r="D4" t="s">
        <v>435</v>
      </c>
      <c r="E4" s="38">
        <v>12</v>
      </c>
      <c r="F4">
        <v>1</v>
      </c>
      <c r="J4" s="13" t="s">
        <v>506</v>
      </c>
      <c r="K4" s="13"/>
      <c r="L4" s="13" t="s">
        <v>480</v>
      </c>
      <c r="M4" s="13"/>
      <c r="N4" s="13" t="s">
        <v>230</v>
      </c>
      <c r="O4" s="13"/>
      <c r="P4" s="13" t="s">
        <v>395</v>
      </c>
      <c r="Q4" s="13" t="s">
        <v>453</v>
      </c>
    </row>
    <row r="5" spans="1:19" x14ac:dyDescent="0.3">
      <c r="A5" t="s">
        <v>416</v>
      </c>
      <c r="B5" t="s">
        <v>441</v>
      </c>
      <c r="C5" t="s">
        <v>430</v>
      </c>
      <c r="D5" t="s">
        <v>433</v>
      </c>
      <c r="E5" s="38">
        <v>12</v>
      </c>
      <c r="F5">
        <v>1</v>
      </c>
      <c r="J5" s="2"/>
      <c r="K5" s="2"/>
      <c r="L5" s="13" t="s">
        <v>361</v>
      </c>
      <c r="M5" s="13"/>
      <c r="N5" s="13" t="s">
        <v>288</v>
      </c>
      <c r="O5" s="13"/>
      <c r="P5" s="13" t="s">
        <v>396</v>
      </c>
      <c r="Q5" s="13"/>
    </row>
    <row r="6" spans="1:19" x14ac:dyDescent="0.3">
      <c r="A6" t="s">
        <v>536</v>
      </c>
      <c r="B6" t="s">
        <v>442</v>
      </c>
      <c r="C6" t="s">
        <v>434</v>
      </c>
      <c r="D6" t="s">
        <v>438</v>
      </c>
      <c r="E6" s="38">
        <v>12</v>
      </c>
      <c r="F6">
        <v>2</v>
      </c>
      <c r="J6" s="13"/>
      <c r="K6" s="13"/>
      <c r="L6" s="13" t="s">
        <v>144</v>
      </c>
      <c r="M6" s="13"/>
      <c r="N6" s="13" t="s">
        <v>297</v>
      </c>
      <c r="O6" s="13"/>
      <c r="P6" s="13" t="s">
        <v>397</v>
      </c>
      <c r="Q6" s="13"/>
    </row>
    <row r="7" spans="1:19" x14ac:dyDescent="0.3">
      <c r="A7" t="s">
        <v>400</v>
      </c>
      <c r="B7" t="s">
        <v>443</v>
      </c>
      <c r="C7" t="s">
        <v>426</v>
      </c>
      <c r="D7" t="s">
        <v>436</v>
      </c>
      <c r="E7" s="38">
        <v>12</v>
      </c>
      <c r="F7">
        <v>1</v>
      </c>
      <c r="J7" s="13"/>
      <c r="K7" s="13"/>
      <c r="L7" s="38" t="s">
        <v>817</v>
      </c>
      <c r="N7" s="13" t="s">
        <v>719</v>
      </c>
      <c r="O7" s="13"/>
      <c r="P7" s="13"/>
      <c r="Q7" s="13"/>
    </row>
    <row r="8" spans="1:19" x14ac:dyDescent="0.3">
      <c r="A8" t="s">
        <v>422</v>
      </c>
      <c r="B8" t="s">
        <v>444</v>
      </c>
      <c r="C8" t="s">
        <v>427</v>
      </c>
      <c r="D8" t="s">
        <v>437</v>
      </c>
      <c r="E8" s="38">
        <v>12</v>
      </c>
      <c r="F8">
        <v>1</v>
      </c>
      <c r="J8" s="13"/>
      <c r="K8" s="13"/>
      <c r="L8" s="13" t="s">
        <v>151</v>
      </c>
      <c r="M8" s="13"/>
      <c r="O8" s="13"/>
      <c r="P8" s="13"/>
      <c r="Q8" s="13"/>
    </row>
    <row r="9" spans="1:19" x14ac:dyDescent="0.3">
      <c r="A9" t="s">
        <v>423</v>
      </c>
      <c r="B9" t="s">
        <v>445</v>
      </c>
      <c r="C9" t="s">
        <v>428</v>
      </c>
      <c r="D9" t="s">
        <v>431</v>
      </c>
      <c r="E9" s="38">
        <v>12</v>
      </c>
      <c r="F9">
        <v>1</v>
      </c>
      <c r="J9" s="13"/>
      <c r="K9" s="13"/>
      <c r="L9" s="13" t="s">
        <v>173</v>
      </c>
      <c r="M9" s="13"/>
      <c r="N9" s="13"/>
      <c r="O9" s="13"/>
      <c r="P9" s="13"/>
      <c r="Q9" s="13"/>
    </row>
    <row r="10" spans="1:19" x14ac:dyDescent="0.3">
      <c r="A10" t="s">
        <v>525</v>
      </c>
      <c r="B10" s="30" t="s">
        <v>527</v>
      </c>
      <c r="C10" s="30" t="s">
        <v>529</v>
      </c>
      <c r="D10" s="30" t="s">
        <v>531</v>
      </c>
      <c r="E10" s="38">
        <v>12</v>
      </c>
      <c r="F10" s="30">
        <v>1</v>
      </c>
      <c r="J10" s="13"/>
      <c r="K10" s="13"/>
      <c r="L10" s="13" t="s">
        <v>180</v>
      </c>
      <c r="M10" s="13"/>
      <c r="N10" s="13"/>
      <c r="O10" s="13"/>
      <c r="P10" s="13"/>
      <c r="Q10" s="13"/>
    </row>
    <row r="11" spans="1:19" x14ac:dyDescent="0.3">
      <c r="A11" t="s">
        <v>526</v>
      </c>
      <c r="B11" s="30" t="s">
        <v>528</v>
      </c>
      <c r="C11" s="30" t="s">
        <v>530</v>
      </c>
      <c r="D11" s="30" t="s">
        <v>532</v>
      </c>
      <c r="E11" s="38">
        <v>12</v>
      </c>
      <c r="F11" s="30">
        <v>5</v>
      </c>
      <c r="J11" s="13"/>
      <c r="K11" s="13"/>
      <c r="L11" s="13" t="s">
        <v>185</v>
      </c>
      <c r="M11" s="13"/>
      <c r="N11" s="13"/>
      <c r="O11" s="13"/>
      <c r="P11" s="13"/>
      <c r="Q11" s="13"/>
    </row>
    <row r="12" spans="1:19" x14ac:dyDescent="0.3">
      <c r="A12" t="s">
        <v>850</v>
      </c>
      <c r="B12" s="38" t="s">
        <v>851</v>
      </c>
      <c r="C12" s="38" t="s">
        <v>852</v>
      </c>
      <c r="D12" s="38" t="s">
        <v>853</v>
      </c>
      <c r="E12" s="38">
        <v>12</v>
      </c>
      <c r="F12">
        <v>2</v>
      </c>
      <c r="J12" s="13"/>
      <c r="K12" s="13"/>
      <c r="L12" s="13" t="s">
        <v>377</v>
      </c>
      <c r="M12" s="13"/>
      <c r="N12" s="13"/>
      <c r="O12" s="13"/>
      <c r="P12" s="13"/>
      <c r="Q12" s="13"/>
    </row>
    <row r="13" spans="1:19" x14ac:dyDescent="0.3">
      <c r="A13" s="38" t="s">
        <v>854</v>
      </c>
      <c r="B13" s="38" t="s">
        <v>855</v>
      </c>
      <c r="C13" s="38" t="s">
        <v>856</v>
      </c>
      <c r="D13" s="38" t="s">
        <v>857</v>
      </c>
      <c r="E13" s="38">
        <v>12</v>
      </c>
      <c r="F13">
        <v>3</v>
      </c>
      <c r="J13" s="13"/>
      <c r="K13" s="13"/>
      <c r="L13" s="13" t="s">
        <v>237</v>
      </c>
      <c r="M13" s="13"/>
      <c r="N13" s="13"/>
      <c r="O13" s="13"/>
      <c r="P13" s="13"/>
      <c r="Q13" s="13"/>
    </row>
    <row r="14" spans="1:19" x14ac:dyDescent="0.3">
      <c r="A14" t="s">
        <v>858</v>
      </c>
      <c r="B14" s="38" t="s">
        <v>859</v>
      </c>
      <c r="C14" s="38" t="s">
        <v>860</v>
      </c>
      <c r="D14" s="38" t="s">
        <v>861</v>
      </c>
      <c r="E14" s="38">
        <v>12</v>
      </c>
      <c r="F14">
        <v>10</v>
      </c>
      <c r="J14" s="13"/>
      <c r="K14" s="13"/>
      <c r="L14" s="13" t="s">
        <v>299</v>
      </c>
      <c r="M14" s="13"/>
      <c r="N14" s="13"/>
      <c r="O14" s="13"/>
      <c r="P14" s="13"/>
      <c r="Q14" s="13"/>
    </row>
    <row r="15" spans="1:19" x14ac:dyDescent="0.3">
      <c r="A15" t="s">
        <v>947</v>
      </c>
      <c r="B15" t="s">
        <v>948</v>
      </c>
      <c r="C15" s="38" t="s">
        <v>949</v>
      </c>
      <c r="D15" s="38" t="s">
        <v>950</v>
      </c>
      <c r="E15" s="38">
        <v>24</v>
      </c>
      <c r="F15">
        <v>2</v>
      </c>
      <c r="J15" s="13"/>
      <c r="K15" s="13"/>
      <c r="L15" s="13" t="s">
        <v>301</v>
      </c>
      <c r="M15" s="13"/>
      <c r="N15" s="13"/>
      <c r="O15" s="13"/>
      <c r="P15" s="13"/>
      <c r="Q15" s="13"/>
    </row>
    <row r="16" spans="1:19" x14ac:dyDescent="0.3">
      <c r="A16" t="s">
        <v>1073</v>
      </c>
      <c r="B16" t="s">
        <v>1075</v>
      </c>
      <c r="C16" t="s">
        <v>1076</v>
      </c>
      <c r="D16" t="s">
        <v>1077</v>
      </c>
      <c r="E16">
        <v>12</v>
      </c>
      <c r="F16">
        <v>1</v>
      </c>
      <c r="J16" s="13"/>
      <c r="K16" s="13"/>
      <c r="L16" s="13" t="s">
        <v>746</v>
      </c>
      <c r="M16" s="13"/>
      <c r="N16" s="13"/>
      <c r="O16" s="13"/>
      <c r="P16" s="13"/>
      <c r="Q16" s="13"/>
    </row>
    <row r="17" spans="1:17" x14ac:dyDescent="0.3">
      <c r="J17" s="13"/>
      <c r="K17" s="13"/>
      <c r="L17" s="13" t="s">
        <v>309</v>
      </c>
      <c r="M17" s="13"/>
      <c r="N17" s="13"/>
      <c r="O17" s="13"/>
      <c r="P17" s="13"/>
      <c r="Q17" s="13"/>
    </row>
    <row r="18" spans="1:17" x14ac:dyDescent="0.3">
      <c r="J18" s="13"/>
      <c r="K18" s="13"/>
      <c r="L18" s="13" t="s">
        <v>1137</v>
      </c>
      <c r="M18" s="13"/>
      <c r="N18" s="13"/>
      <c r="O18" s="13"/>
      <c r="P18" s="13"/>
      <c r="Q18" s="13"/>
    </row>
    <row r="19" spans="1:17" x14ac:dyDescent="0.3">
      <c r="J19" s="13"/>
      <c r="K19" s="13"/>
      <c r="L19" s="13"/>
      <c r="M19" s="13"/>
      <c r="N19" s="13"/>
      <c r="O19" s="13"/>
      <c r="P19" s="13"/>
      <c r="Q19" s="13"/>
    </row>
    <row r="20" spans="1:17" x14ac:dyDescent="0.3">
      <c r="A20" s="2"/>
      <c r="J20" s="13"/>
      <c r="K20" s="13"/>
      <c r="L20" s="13"/>
      <c r="M20" s="13"/>
      <c r="N20" s="13"/>
      <c r="O20" s="13"/>
      <c r="P20" s="13"/>
      <c r="Q20" s="13"/>
    </row>
    <row r="21" spans="1:17" x14ac:dyDescent="0.3">
      <c r="L21" s="13"/>
    </row>
    <row r="22" spans="1:17" x14ac:dyDescent="0.3">
      <c r="L22" s="13"/>
    </row>
    <row r="23" spans="1:17" x14ac:dyDescent="0.3">
      <c r="A23" t="s">
        <v>977</v>
      </c>
      <c r="B23" s="17">
        <v>43191</v>
      </c>
      <c r="L23" s="13"/>
    </row>
    <row r="24" spans="1:17" x14ac:dyDescent="0.3">
      <c r="A24" t="s">
        <v>978</v>
      </c>
      <c r="B24" s="73">
        <v>41640</v>
      </c>
      <c r="C24" s="73"/>
      <c r="L24" s="13"/>
    </row>
    <row r="25" spans="1:17" x14ac:dyDescent="0.3">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99"/>
  <sheetViews>
    <sheetView topLeftCell="A173" zoomScale="115" zoomScaleNormal="115" workbookViewId="0">
      <selection activeCell="B205" sqref="B205"/>
    </sheetView>
  </sheetViews>
  <sheetFormatPr defaultRowHeight="14.4" x14ac:dyDescent="0.3"/>
  <cols>
    <col min="1" max="1" width="20" style="38" customWidth="1"/>
    <col min="2" max="2" width="23" style="38" customWidth="1"/>
    <col min="3" max="3" width="11.6640625" style="77" customWidth="1"/>
    <col min="5" max="5" width="15.33203125" bestFit="1" customWidth="1"/>
  </cols>
  <sheetData>
    <row r="1" spans="1:5" s="79" customFormat="1" x14ac:dyDescent="0.3">
      <c r="A1" s="78" t="s">
        <v>833</v>
      </c>
      <c r="B1" s="80" t="s">
        <v>996</v>
      </c>
      <c r="C1" s="81" t="s">
        <v>997</v>
      </c>
    </row>
    <row r="2" spans="1:5" x14ac:dyDescent="0.3">
      <c r="A2" s="39" t="s">
        <v>236</v>
      </c>
      <c r="B2" s="70" t="s">
        <v>611</v>
      </c>
      <c r="C2" s="74">
        <v>3.1341427522963001</v>
      </c>
      <c r="E2" s="205" t="s">
        <v>13</v>
      </c>
    </row>
    <row r="3" spans="1:5" x14ac:dyDescent="0.3">
      <c r="A3" s="39" t="s">
        <v>267</v>
      </c>
      <c r="B3" s="70" t="s">
        <v>611</v>
      </c>
      <c r="C3" s="74">
        <v>3.8820329084732199</v>
      </c>
      <c r="E3" s="206" t="s">
        <v>376</v>
      </c>
    </row>
    <row r="4" spans="1:5" x14ac:dyDescent="0.3">
      <c r="A4" s="39" t="s">
        <v>249</v>
      </c>
      <c r="B4" s="70" t="s">
        <v>611</v>
      </c>
      <c r="C4" s="74">
        <v>2.3045478259125423</v>
      </c>
      <c r="E4" s="205" t="s">
        <v>957</v>
      </c>
    </row>
    <row r="5" spans="1:5" x14ac:dyDescent="0.3">
      <c r="A5" s="39" t="s">
        <v>247</v>
      </c>
      <c r="B5" s="70" t="s">
        <v>611</v>
      </c>
      <c r="C5" s="74">
        <v>3.3637010801853577</v>
      </c>
      <c r="E5" s="206" t="s">
        <v>1045</v>
      </c>
    </row>
    <row r="6" spans="1:5" x14ac:dyDescent="0.3">
      <c r="A6" s="39" t="s">
        <v>273</v>
      </c>
      <c r="B6" s="70" t="s">
        <v>611</v>
      </c>
      <c r="C6" s="74">
        <v>2.0123527499589278</v>
      </c>
      <c r="E6" s="205" t="s">
        <v>1056</v>
      </c>
    </row>
    <row r="7" spans="1:5" x14ac:dyDescent="0.3">
      <c r="A7" s="39" t="s">
        <v>275</v>
      </c>
      <c r="B7" s="70" t="s">
        <v>611</v>
      </c>
      <c r="C7" s="74">
        <v>2.9133254097712102</v>
      </c>
      <c r="E7" s="208" t="s">
        <v>1057</v>
      </c>
    </row>
    <row r="8" spans="1:5" x14ac:dyDescent="0.3">
      <c r="A8" s="39" t="s">
        <v>277</v>
      </c>
      <c r="B8" s="70" t="s">
        <v>611</v>
      </c>
      <c r="C8" s="74">
        <v>4.9021696969220816</v>
      </c>
      <c r="E8" s="207" t="s">
        <v>1067</v>
      </c>
    </row>
    <row r="9" spans="1:5" x14ac:dyDescent="0.3">
      <c r="A9" s="71" t="s">
        <v>259</v>
      </c>
      <c r="B9" s="70" t="s">
        <v>611</v>
      </c>
      <c r="C9" s="74">
        <v>5.4145379230647226</v>
      </c>
      <c r="E9" s="208" t="s">
        <v>1069</v>
      </c>
    </row>
    <row r="10" spans="1:5" x14ac:dyDescent="0.3">
      <c r="A10" s="71" t="s">
        <v>279</v>
      </c>
      <c r="B10" s="70" t="s">
        <v>611</v>
      </c>
      <c r="C10" s="74">
        <v>6.6198004689728469</v>
      </c>
      <c r="E10" s="205" t="s">
        <v>1135</v>
      </c>
    </row>
    <row r="11" spans="1:5" x14ac:dyDescent="0.3">
      <c r="A11" s="39" t="s">
        <v>244</v>
      </c>
      <c r="B11" s="70" t="s">
        <v>611</v>
      </c>
      <c r="C11" s="74">
        <v>1.1985969617964649</v>
      </c>
      <c r="E11" s="208" t="s">
        <v>942</v>
      </c>
    </row>
    <row r="12" spans="1:5" x14ac:dyDescent="0.3">
      <c r="A12" s="39" t="s">
        <v>245</v>
      </c>
      <c r="B12" s="70" t="s">
        <v>611</v>
      </c>
      <c r="C12" s="74">
        <v>1.3510454549069482</v>
      </c>
      <c r="E12" s="205" t="s">
        <v>1044</v>
      </c>
    </row>
    <row r="13" spans="1:5" x14ac:dyDescent="0.3">
      <c r="A13" s="39" t="s">
        <v>242</v>
      </c>
      <c r="B13" s="70" t="s">
        <v>611</v>
      </c>
      <c r="C13" s="74">
        <v>1.5295244799681529</v>
      </c>
      <c r="E13" s="206" t="s">
        <v>1083</v>
      </c>
    </row>
    <row r="14" spans="1:5" x14ac:dyDescent="0.3">
      <c r="A14" s="39" t="s">
        <v>255</v>
      </c>
      <c r="B14" s="70" t="s">
        <v>611</v>
      </c>
      <c r="C14" s="74">
        <v>2.8164250706222882</v>
      </c>
      <c r="E14" s="207" t="s">
        <v>1121</v>
      </c>
    </row>
    <row r="15" spans="1:5" x14ac:dyDescent="0.3">
      <c r="A15" s="39" t="s">
        <v>283</v>
      </c>
      <c r="B15" s="70" t="s">
        <v>611</v>
      </c>
      <c r="C15" s="74">
        <v>4.262018365878137</v>
      </c>
      <c r="E15" s="208" t="s">
        <v>1122</v>
      </c>
    </row>
    <row r="16" spans="1:5" x14ac:dyDescent="0.3">
      <c r="A16" s="39" t="s">
        <v>239</v>
      </c>
      <c r="B16" s="70" t="s">
        <v>611</v>
      </c>
      <c r="C16" s="74">
        <v>3.3602711423118103</v>
      </c>
      <c r="E16" s="207" t="s">
        <v>1123</v>
      </c>
    </row>
    <row r="17" spans="1:5" x14ac:dyDescent="0.3">
      <c r="A17" s="39" t="s">
        <v>257</v>
      </c>
      <c r="B17" s="70" t="s">
        <v>635</v>
      </c>
      <c r="C17" s="74">
        <v>3.3362307375127798</v>
      </c>
      <c r="E17" s="208" t="s">
        <v>1124</v>
      </c>
    </row>
    <row r="18" spans="1:5" x14ac:dyDescent="0.3">
      <c r="A18" s="39" t="s">
        <v>265</v>
      </c>
      <c r="B18" s="70" t="s">
        <v>611</v>
      </c>
      <c r="C18" s="74">
        <v>1.3751794210741128</v>
      </c>
      <c r="E18" s="207" t="s">
        <v>1125</v>
      </c>
    </row>
    <row r="19" spans="1:5" x14ac:dyDescent="0.3">
      <c r="A19" s="39" t="s">
        <v>251</v>
      </c>
      <c r="B19" s="70" t="s">
        <v>611</v>
      </c>
      <c r="C19" s="74">
        <v>2.4647367211404561</v>
      </c>
      <c r="E19" s="208" t="s">
        <v>1126</v>
      </c>
    </row>
    <row r="20" spans="1:5" x14ac:dyDescent="0.3">
      <c r="A20" s="39" t="s">
        <v>253</v>
      </c>
      <c r="B20" s="70" t="s">
        <v>611</v>
      </c>
      <c r="C20" s="74">
        <v>1.8563710010113432</v>
      </c>
      <c r="E20" s="207" t="s">
        <v>1127</v>
      </c>
    </row>
    <row r="21" spans="1:5" x14ac:dyDescent="0.3">
      <c r="A21" s="39" t="s">
        <v>261</v>
      </c>
      <c r="B21" s="70" t="s">
        <v>611</v>
      </c>
      <c r="C21" s="74">
        <v>10.744749696609457</v>
      </c>
      <c r="E21" s="208" t="s">
        <v>1128</v>
      </c>
    </row>
    <row r="22" spans="1:5" x14ac:dyDescent="0.3">
      <c r="A22" s="39" t="s">
        <v>263</v>
      </c>
      <c r="B22" s="70" t="s">
        <v>611</v>
      </c>
      <c r="C22" s="74">
        <v>10.15228229456989</v>
      </c>
    </row>
    <row r="23" spans="1:5" x14ac:dyDescent="0.3">
      <c r="A23" s="39" t="s">
        <v>281</v>
      </c>
      <c r="B23" s="70" t="s">
        <v>611</v>
      </c>
      <c r="C23" s="74">
        <v>1.7877148351104664</v>
      </c>
    </row>
    <row r="24" spans="1:5" x14ac:dyDescent="0.3">
      <c r="A24" s="39" t="s">
        <v>241</v>
      </c>
      <c r="B24" s="70" t="s">
        <v>611</v>
      </c>
      <c r="C24" s="74">
        <v>2.6190942927115026</v>
      </c>
    </row>
    <row r="25" spans="1:5" x14ac:dyDescent="0.3">
      <c r="A25" s="39" t="s">
        <v>269</v>
      </c>
      <c r="B25" s="70" t="s">
        <v>611</v>
      </c>
      <c r="C25" s="74">
        <v>4.037940696665812</v>
      </c>
    </row>
    <row r="26" spans="1:5" x14ac:dyDescent="0.3">
      <c r="A26" s="39" t="s">
        <v>339</v>
      </c>
      <c r="B26" s="70" t="s">
        <v>635</v>
      </c>
      <c r="C26" s="74">
        <v>0.4474205416025816</v>
      </c>
    </row>
    <row r="27" spans="1:5" x14ac:dyDescent="0.3">
      <c r="A27" s="39" t="s">
        <v>348</v>
      </c>
      <c r="B27" s="70" t="s">
        <v>635</v>
      </c>
      <c r="C27" s="74">
        <v>1.0367202051285227</v>
      </c>
    </row>
    <row r="28" spans="1:5" x14ac:dyDescent="0.3">
      <c r="A28" s="75" t="s">
        <v>318</v>
      </c>
      <c r="B28" s="70" t="s">
        <v>635</v>
      </c>
      <c r="C28" s="74">
        <v>1.1134935940025397</v>
      </c>
    </row>
    <row r="29" spans="1:5" x14ac:dyDescent="0.3">
      <c r="A29" s="39" t="s">
        <v>311</v>
      </c>
      <c r="B29" s="70" t="s">
        <v>635</v>
      </c>
      <c r="C29" s="74">
        <v>5.0655036329811631</v>
      </c>
    </row>
    <row r="30" spans="1:5" x14ac:dyDescent="0.3">
      <c r="A30" s="71" t="s">
        <v>328</v>
      </c>
      <c r="B30" s="70" t="s">
        <v>611</v>
      </c>
      <c r="C30" s="74">
        <v>5.7019834469756479</v>
      </c>
    </row>
    <row r="31" spans="1:5" x14ac:dyDescent="0.3">
      <c r="A31" s="39" t="s">
        <v>336</v>
      </c>
      <c r="B31" s="70" t="s">
        <v>635</v>
      </c>
      <c r="C31" s="74">
        <v>0.77827912736780092</v>
      </c>
    </row>
    <row r="32" spans="1:5" x14ac:dyDescent="0.3">
      <c r="A32" s="39" t="s">
        <v>326</v>
      </c>
      <c r="B32" s="70" t="s">
        <v>611</v>
      </c>
      <c r="C32" s="74">
        <v>5.9727739497559158</v>
      </c>
    </row>
    <row r="33" spans="1:3" x14ac:dyDescent="0.3">
      <c r="A33" s="39" t="s">
        <v>316</v>
      </c>
      <c r="B33" s="70" t="s">
        <v>635</v>
      </c>
      <c r="C33" s="74">
        <v>0.37684287609457234</v>
      </c>
    </row>
    <row r="34" spans="1:3" x14ac:dyDescent="0.3">
      <c r="A34" s="39" t="s">
        <v>341</v>
      </c>
      <c r="B34" s="70" t="s">
        <v>611</v>
      </c>
      <c r="C34" s="74">
        <v>6.0275881703713861</v>
      </c>
    </row>
    <row r="35" spans="1:3" x14ac:dyDescent="0.3">
      <c r="A35" s="75" t="s">
        <v>308</v>
      </c>
      <c r="B35" s="70" t="s">
        <v>635</v>
      </c>
      <c r="C35" s="74">
        <v>0.70725493400809891</v>
      </c>
    </row>
    <row r="36" spans="1:3" x14ac:dyDescent="0.3">
      <c r="A36" s="39" t="s">
        <v>346</v>
      </c>
      <c r="B36" s="70" t="s">
        <v>635</v>
      </c>
      <c r="C36" s="74">
        <v>2.4174307716662291</v>
      </c>
    </row>
    <row r="37" spans="1:3" x14ac:dyDescent="0.3">
      <c r="A37" s="39" t="s">
        <v>314</v>
      </c>
      <c r="B37" s="70" t="s">
        <v>635</v>
      </c>
      <c r="C37" s="74">
        <v>0.15089472113650237</v>
      </c>
    </row>
    <row r="38" spans="1:3" x14ac:dyDescent="0.3">
      <c r="A38" s="39" t="s">
        <v>324</v>
      </c>
      <c r="B38" s="70" t="s">
        <v>611</v>
      </c>
      <c r="C38" s="74">
        <v>4.3887485673235673</v>
      </c>
    </row>
    <row r="39" spans="1:3" x14ac:dyDescent="0.3">
      <c r="A39" s="39" t="s">
        <v>322</v>
      </c>
      <c r="B39" s="70" t="s">
        <v>611</v>
      </c>
      <c r="C39" s="74">
        <v>5.2238983299151851</v>
      </c>
    </row>
    <row r="40" spans="1:3" x14ac:dyDescent="0.3">
      <c r="A40" s="39" t="s">
        <v>344</v>
      </c>
      <c r="B40" s="70" t="s">
        <v>1012</v>
      </c>
      <c r="C40" s="74">
        <v>9.3609732231189877</v>
      </c>
    </row>
    <row r="41" spans="1:3" x14ac:dyDescent="0.3">
      <c r="A41" s="39" t="s">
        <v>30</v>
      </c>
      <c r="B41" s="70" t="s">
        <v>731</v>
      </c>
      <c r="C41" s="74">
        <v>0.15809623370782155</v>
      </c>
    </row>
    <row r="42" spans="1:3" x14ac:dyDescent="0.3">
      <c r="A42" s="39" t="s">
        <v>29</v>
      </c>
      <c r="B42" s="70" t="s">
        <v>999</v>
      </c>
      <c r="C42" s="74">
        <v>19.834999342466848</v>
      </c>
    </row>
    <row r="43" spans="1:3" x14ac:dyDescent="0.3">
      <c r="A43" s="39" t="s">
        <v>33</v>
      </c>
      <c r="B43" s="70" t="s">
        <v>999</v>
      </c>
      <c r="C43" s="74">
        <v>12.486065224161463</v>
      </c>
    </row>
    <row r="44" spans="1:3" x14ac:dyDescent="0.3">
      <c r="A44" s="39" t="s">
        <v>21</v>
      </c>
      <c r="B44" s="70" t="s">
        <v>577</v>
      </c>
      <c r="C44" s="74">
        <v>1.5797992800898704</v>
      </c>
    </row>
    <row r="45" spans="1:3" x14ac:dyDescent="0.3">
      <c r="A45" s="39" t="s">
        <v>17</v>
      </c>
      <c r="B45" s="70" t="s">
        <v>577</v>
      </c>
      <c r="C45" s="74">
        <v>1.0876401420946245</v>
      </c>
    </row>
    <row r="46" spans="1:3" x14ac:dyDescent="0.3">
      <c r="A46" s="39" t="s">
        <v>4</v>
      </c>
      <c r="B46" s="70" t="s">
        <v>577</v>
      </c>
      <c r="C46" s="74">
        <v>0.78440046838596356</v>
      </c>
    </row>
    <row r="47" spans="1:3" x14ac:dyDescent="0.3">
      <c r="A47" s="39" t="s">
        <v>7</v>
      </c>
      <c r="B47" s="70" t="s">
        <v>577</v>
      </c>
      <c r="C47" s="74">
        <v>0.20824727902294948</v>
      </c>
    </row>
    <row r="48" spans="1:3" x14ac:dyDescent="0.3">
      <c r="A48" s="39" t="s">
        <v>13</v>
      </c>
      <c r="B48" s="70" t="s">
        <v>577</v>
      </c>
      <c r="C48" s="74">
        <v>0.84749304721635399</v>
      </c>
    </row>
    <row r="49" spans="1:3" x14ac:dyDescent="0.3">
      <c r="A49" s="39" t="s">
        <v>25</v>
      </c>
      <c r="B49" s="70" t="s">
        <v>577</v>
      </c>
      <c r="C49" s="74">
        <v>0.87147615879849294</v>
      </c>
    </row>
    <row r="50" spans="1:3" x14ac:dyDescent="0.3">
      <c r="A50" s="71" t="s">
        <v>19</v>
      </c>
      <c r="B50" s="70" t="s">
        <v>602</v>
      </c>
      <c r="C50" s="74">
        <v>8.3788619521763046</v>
      </c>
    </row>
    <row r="51" spans="1:3" x14ac:dyDescent="0.3">
      <c r="A51" s="39" t="s">
        <v>23</v>
      </c>
      <c r="B51" s="70" t="s">
        <v>577</v>
      </c>
      <c r="C51" s="74">
        <v>4.108228790802368</v>
      </c>
    </row>
    <row r="52" spans="1:3" x14ac:dyDescent="0.3">
      <c r="A52" s="39" t="s">
        <v>208</v>
      </c>
      <c r="B52" s="70" t="s">
        <v>602</v>
      </c>
      <c r="C52" s="74">
        <v>0.62513510418653162</v>
      </c>
    </row>
    <row r="53" spans="1:3" x14ac:dyDescent="0.3">
      <c r="A53" s="39" t="s">
        <v>206</v>
      </c>
      <c r="B53" s="70" t="s">
        <v>602</v>
      </c>
      <c r="C53" s="74">
        <v>0.49034468319599833</v>
      </c>
    </row>
    <row r="54" spans="1:3" x14ac:dyDescent="0.3">
      <c r="A54" s="39" t="s">
        <v>216</v>
      </c>
      <c r="B54" s="70" t="s">
        <v>602</v>
      </c>
      <c r="C54" s="74">
        <v>0.32830807173487342</v>
      </c>
    </row>
    <row r="55" spans="1:3" x14ac:dyDescent="0.3">
      <c r="A55" s="39" t="s">
        <v>226</v>
      </c>
      <c r="B55" s="70" t="s">
        <v>1009</v>
      </c>
      <c r="C55" s="74">
        <v>14.236592976936194</v>
      </c>
    </row>
    <row r="56" spans="1:3" x14ac:dyDescent="0.3">
      <c r="A56" s="39" t="s">
        <v>212</v>
      </c>
      <c r="B56" s="70" t="s">
        <v>602</v>
      </c>
      <c r="C56" s="74">
        <v>17.689123339899055</v>
      </c>
    </row>
    <row r="57" spans="1:3" x14ac:dyDescent="0.3">
      <c r="A57" s="39" t="s">
        <v>201</v>
      </c>
      <c r="B57" s="70" t="s">
        <v>602</v>
      </c>
      <c r="C57" s="74">
        <v>2.4411071835305544</v>
      </c>
    </row>
    <row r="58" spans="1:3" x14ac:dyDescent="0.3">
      <c r="A58" s="39" t="s">
        <v>203</v>
      </c>
      <c r="B58" s="70" t="s">
        <v>602</v>
      </c>
      <c r="C58" s="74">
        <v>17.282528446236295</v>
      </c>
    </row>
    <row r="59" spans="1:3" x14ac:dyDescent="0.3">
      <c r="A59" s="39" t="s">
        <v>199</v>
      </c>
      <c r="B59" s="70" t="s">
        <v>1009</v>
      </c>
      <c r="C59" s="74">
        <v>19.860265975801305</v>
      </c>
    </row>
    <row r="60" spans="1:3" x14ac:dyDescent="0.3">
      <c r="A60" s="75" t="s">
        <v>220</v>
      </c>
      <c r="B60" s="70" t="s">
        <v>1009</v>
      </c>
      <c r="C60" s="74">
        <v>3.6887624513681017</v>
      </c>
    </row>
    <row r="61" spans="1:3" x14ac:dyDescent="0.3">
      <c r="A61" s="39" t="s">
        <v>150</v>
      </c>
      <c r="B61" s="70" t="s">
        <v>590</v>
      </c>
      <c r="C61" s="74">
        <v>1.0576516850656514</v>
      </c>
    </row>
    <row r="62" spans="1:3" x14ac:dyDescent="0.3">
      <c r="A62" s="39" t="s">
        <v>304</v>
      </c>
      <c r="B62" s="70" t="s">
        <v>561</v>
      </c>
      <c r="C62" s="74">
        <v>0.74396039478864395</v>
      </c>
    </row>
    <row r="63" spans="1:3" x14ac:dyDescent="0.3">
      <c r="A63" s="39" t="s">
        <v>306</v>
      </c>
      <c r="B63" s="70" t="s">
        <v>561</v>
      </c>
      <c r="C63" s="74">
        <v>0.74330366237812662</v>
      </c>
    </row>
    <row r="64" spans="1:3" x14ac:dyDescent="0.3">
      <c r="A64" s="39" t="s">
        <v>222</v>
      </c>
      <c r="B64" s="70" t="s">
        <v>693</v>
      </c>
      <c r="C64" s="74">
        <v>0.77978735578277303</v>
      </c>
    </row>
    <row r="65" spans="1:3" x14ac:dyDescent="0.3">
      <c r="A65" s="39" t="s">
        <v>189</v>
      </c>
      <c r="B65" s="70" t="s">
        <v>693</v>
      </c>
      <c r="C65" s="74">
        <v>0.38934692601696641</v>
      </c>
    </row>
    <row r="66" spans="1:3" x14ac:dyDescent="0.3">
      <c r="A66" s="39" t="s">
        <v>184</v>
      </c>
      <c r="B66" s="70" t="s">
        <v>693</v>
      </c>
      <c r="C66" s="74">
        <v>0.28829825866869707</v>
      </c>
    </row>
    <row r="67" spans="1:3" x14ac:dyDescent="0.3">
      <c r="A67" s="39" t="s">
        <v>228</v>
      </c>
      <c r="B67" s="70" t="s">
        <v>693</v>
      </c>
      <c r="C67" s="74">
        <v>0.77561767807574999</v>
      </c>
    </row>
    <row r="68" spans="1:3" x14ac:dyDescent="0.3">
      <c r="A68" s="39" t="s">
        <v>224</v>
      </c>
      <c r="B68" s="70" t="s">
        <v>693</v>
      </c>
      <c r="C68" s="74">
        <v>1.343152344964242</v>
      </c>
    </row>
    <row r="69" spans="1:3" x14ac:dyDescent="0.3">
      <c r="A69" s="39" t="s">
        <v>143</v>
      </c>
      <c r="B69" s="70" t="s">
        <v>1003</v>
      </c>
      <c r="C69" s="74">
        <v>28.422357500443528</v>
      </c>
    </row>
    <row r="70" spans="1:3" x14ac:dyDescent="0.3">
      <c r="A70" s="75" t="s">
        <v>298</v>
      </c>
      <c r="B70" s="70" t="s">
        <v>740</v>
      </c>
      <c r="C70" s="74">
        <v>1.3759254000531889</v>
      </c>
    </row>
    <row r="71" spans="1:3" x14ac:dyDescent="0.3">
      <c r="A71" s="39" t="s">
        <v>175</v>
      </c>
      <c r="B71" s="70" t="s">
        <v>570</v>
      </c>
      <c r="C71" s="74">
        <v>0.71141459237180937</v>
      </c>
    </row>
    <row r="72" spans="1:3" x14ac:dyDescent="0.3">
      <c r="A72" s="39" t="s">
        <v>172</v>
      </c>
      <c r="B72" s="70" t="s">
        <v>570</v>
      </c>
      <c r="C72" s="74">
        <v>1.815139598767344</v>
      </c>
    </row>
    <row r="73" spans="1:3" x14ac:dyDescent="0.3">
      <c r="A73" s="39" t="s">
        <v>177</v>
      </c>
      <c r="B73" s="70" t="s">
        <v>570</v>
      </c>
      <c r="C73" s="74">
        <v>0.86042374061342075</v>
      </c>
    </row>
    <row r="74" spans="1:3" x14ac:dyDescent="0.3">
      <c r="A74" s="39" t="s">
        <v>179</v>
      </c>
      <c r="B74" s="70" t="s">
        <v>960</v>
      </c>
      <c r="C74" s="74">
        <v>1.7021273757523427</v>
      </c>
    </row>
    <row r="75" spans="1:3" x14ac:dyDescent="0.3">
      <c r="A75" s="39" t="s">
        <v>99</v>
      </c>
      <c r="B75" s="70" t="s">
        <v>1000</v>
      </c>
      <c r="C75" s="74">
        <v>0.79577754007276646</v>
      </c>
    </row>
    <row r="76" spans="1:3" x14ac:dyDescent="0.3">
      <c r="A76" s="39" t="s">
        <v>107</v>
      </c>
      <c r="B76" s="70" t="s">
        <v>1000</v>
      </c>
      <c r="C76" s="74">
        <v>2.9334852607184256</v>
      </c>
    </row>
    <row r="77" spans="1:3" x14ac:dyDescent="0.3">
      <c r="A77" s="39" t="s">
        <v>139</v>
      </c>
      <c r="B77" s="70" t="s">
        <v>1000</v>
      </c>
      <c r="C77" s="74">
        <v>1.5942018764815451</v>
      </c>
    </row>
    <row r="78" spans="1:3" x14ac:dyDescent="0.3">
      <c r="A78" s="39" t="s">
        <v>71</v>
      </c>
      <c r="B78" s="70" t="s">
        <v>1000</v>
      </c>
      <c r="C78" s="74">
        <v>4.4704963044882238</v>
      </c>
    </row>
    <row r="79" spans="1:3" x14ac:dyDescent="0.3">
      <c r="A79" s="39" t="s">
        <v>354</v>
      </c>
      <c r="B79" s="70" t="s">
        <v>1013</v>
      </c>
      <c r="C79" s="74">
        <v>32.827754639406997</v>
      </c>
    </row>
    <row r="80" spans="1:3" x14ac:dyDescent="0.3">
      <c r="A80" s="39" t="s">
        <v>332</v>
      </c>
      <c r="B80" s="70" t="s">
        <v>1013</v>
      </c>
      <c r="C80" s="74">
        <v>18.198335991626355</v>
      </c>
    </row>
    <row r="81" spans="1:3" x14ac:dyDescent="0.3">
      <c r="A81" s="39" t="s">
        <v>334</v>
      </c>
      <c r="B81" s="70" t="s">
        <v>1013</v>
      </c>
      <c r="C81" s="74">
        <v>21.287604662770121</v>
      </c>
    </row>
    <row r="82" spans="1:3" x14ac:dyDescent="0.3">
      <c r="A82" s="71" t="s">
        <v>350</v>
      </c>
      <c r="B82" s="70" t="s">
        <v>1008</v>
      </c>
      <c r="C82" s="74">
        <v>1.7420415164460403</v>
      </c>
    </row>
    <row r="83" spans="1:3" x14ac:dyDescent="0.3">
      <c r="A83" s="71" t="s">
        <v>313</v>
      </c>
      <c r="B83" s="70" t="s">
        <v>1008</v>
      </c>
      <c r="C83" s="74">
        <v>1.857513522619473</v>
      </c>
    </row>
    <row r="84" spans="1:3" x14ac:dyDescent="0.3">
      <c r="A84" s="39" t="s">
        <v>320</v>
      </c>
      <c r="B84" s="70" t="s">
        <v>1008</v>
      </c>
      <c r="C84" s="74">
        <v>28.888856599204185</v>
      </c>
    </row>
    <row r="85" spans="1:3" x14ac:dyDescent="0.3">
      <c r="A85" s="39" t="s">
        <v>343</v>
      </c>
      <c r="B85" s="70" t="s">
        <v>1008</v>
      </c>
      <c r="C85" s="74">
        <v>20.599512012485512</v>
      </c>
    </row>
    <row r="86" spans="1:3" x14ac:dyDescent="0.3">
      <c r="A86" s="39" t="s">
        <v>195</v>
      </c>
      <c r="B86" s="70" t="s">
        <v>1008</v>
      </c>
      <c r="C86" s="74">
        <v>7.985347533011188</v>
      </c>
    </row>
    <row r="87" spans="1:3" x14ac:dyDescent="0.3">
      <c r="A87" s="39" t="s">
        <v>193</v>
      </c>
      <c r="B87" s="70" t="s">
        <v>1008</v>
      </c>
      <c r="C87" s="74">
        <v>10.953347686331073</v>
      </c>
    </row>
    <row r="88" spans="1:3" x14ac:dyDescent="0.3">
      <c r="A88" s="39" t="s">
        <v>191</v>
      </c>
      <c r="B88" s="70" t="s">
        <v>1009</v>
      </c>
      <c r="C88" s="74">
        <v>18.65617244319267</v>
      </c>
    </row>
    <row r="89" spans="1:3" x14ac:dyDescent="0.3">
      <c r="A89" s="39" t="s">
        <v>218</v>
      </c>
      <c r="B89" s="70" t="s">
        <v>693</v>
      </c>
      <c r="C89" s="74">
        <v>8.953204937938569</v>
      </c>
    </row>
    <row r="90" spans="1:3" x14ac:dyDescent="0.3">
      <c r="A90" s="39" t="s">
        <v>197</v>
      </c>
      <c r="B90" s="70" t="s">
        <v>693</v>
      </c>
      <c r="C90" s="74">
        <v>18.620903555062636</v>
      </c>
    </row>
    <row r="91" spans="1:3" x14ac:dyDescent="0.3">
      <c r="A91" s="39" t="s">
        <v>187</v>
      </c>
      <c r="B91" s="70" t="s">
        <v>1004</v>
      </c>
      <c r="C91" s="74">
        <v>19.796407430638478</v>
      </c>
    </row>
    <row r="92" spans="1:3" x14ac:dyDescent="0.3">
      <c r="A92" s="39" t="s">
        <v>214</v>
      </c>
      <c r="B92" s="70" t="s">
        <v>693</v>
      </c>
      <c r="C92" s="74">
        <v>20.558236360788097</v>
      </c>
    </row>
    <row r="93" spans="1:3" x14ac:dyDescent="0.3">
      <c r="A93" s="39" t="s">
        <v>153</v>
      </c>
      <c r="B93" s="70" t="s">
        <v>1004</v>
      </c>
      <c r="C93" s="74">
        <v>10.509375400480517</v>
      </c>
    </row>
    <row r="94" spans="1:3" x14ac:dyDescent="0.3">
      <c r="A94" s="39" t="s">
        <v>159</v>
      </c>
      <c r="B94" s="70" t="s">
        <v>1004</v>
      </c>
      <c r="C94" s="74">
        <v>9.3704379947870464</v>
      </c>
    </row>
    <row r="95" spans="1:3" x14ac:dyDescent="0.3">
      <c r="A95" s="39" t="s">
        <v>155</v>
      </c>
      <c r="B95" s="70" t="s">
        <v>1004</v>
      </c>
      <c r="C95" s="74">
        <v>9.5650381623500511</v>
      </c>
    </row>
    <row r="96" spans="1:3" x14ac:dyDescent="0.3">
      <c r="A96" s="39" t="s">
        <v>157</v>
      </c>
      <c r="B96" s="70" t="s">
        <v>1004</v>
      </c>
      <c r="C96" s="74">
        <v>12.392289083396149</v>
      </c>
    </row>
    <row r="97" spans="1:3" x14ac:dyDescent="0.3">
      <c r="A97" s="39" t="s">
        <v>87</v>
      </c>
      <c r="B97" s="70" t="s">
        <v>1001</v>
      </c>
      <c r="C97" s="74">
        <v>1.1537462444167914</v>
      </c>
    </row>
    <row r="98" spans="1:3" x14ac:dyDescent="0.3">
      <c r="A98" s="71" t="s">
        <v>338</v>
      </c>
      <c r="B98" s="70" t="s">
        <v>1013</v>
      </c>
      <c r="C98" s="74">
        <v>34.344689881690819</v>
      </c>
    </row>
    <row r="99" spans="1:3" x14ac:dyDescent="0.3">
      <c r="A99" s="39" t="s">
        <v>285</v>
      </c>
      <c r="B99" s="70" t="s">
        <v>1007</v>
      </c>
      <c r="C99" s="74">
        <v>16.668825701583572</v>
      </c>
    </row>
    <row r="100" spans="1:3" x14ac:dyDescent="0.3">
      <c r="A100" s="39" t="s">
        <v>352</v>
      </c>
      <c r="B100" s="70" t="s">
        <v>1013</v>
      </c>
      <c r="C100" s="74">
        <v>17.035515422123492</v>
      </c>
    </row>
    <row r="101" spans="1:3" x14ac:dyDescent="0.3">
      <c r="A101" s="71" t="s">
        <v>271</v>
      </c>
      <c r="B101" s="70" t="s">
        <v>611</v>
      </c>
      <c r="C101" s="74">
        <v>12.627188913244609</v>
      </c>
    </row>
    <row r="102" spans="1:3" x14ac:dyDescent="0.3">
      <c r="A102" s="39" t="s">
        <v>11</v>
      </c>
      <c r="B102" s="70" t="s">
        <v>577</v>
      </c>
      <c r="C102" s="74">
        <v>1.1354007641426449</v>
      </c>
    </row>
    <row r="103" spans="1:3" x14ac:dyDescent="0.3">
      <c r="A103" s="39" t="s">
        <v>91</v>
      </c>
      <c r="B103" s="70" t="s">
        <v>1000</v>
      </c>
      <c r="C103" s="74">
        <v>0.75842119772531946</v>
      </c>
    </row>
    <row r="104" spans="1:3" x14ac:dyDescent="0.3">
      <c r="A104" s="39" t="s">
        <v>119</v>
      </c>
      <c r="B104" s="70" t="s">
        <v>1000</v>
      </c>
      <c r="C104" s="74">
        <v>6.3039408411778268</v>
      </c>
    </row>
    <row r="105" spans="1:3" x14ac:dyDescent="0.3">
      <c r="A105" s="39" t="s">
        <v>51</v>
      </c>
      <c r="B105" s="70" t="s">
        <v>1000</v>
      </c>
      <c r="C105" s="74">
        <v>5.184483270539272</v>
      </c>
    </row>
    <row r="106" spans="1:3" x14ac:dyDescent="0.3">
      <c r="A106" s="39" t="s">
        <v>75</v>
      </c>
      <c r="B106" s="70" t="s">
        <v>1000</v>
      </c>
      <c r="C106" s="74">
        <v>4.8862832644478198</v>
      </c>
    </row>
    <row r="107" spans="1:3" x14ac:dyDescent="0.3">
      <c r="A107" s="39" t="s">
        <v>40</v>
      </c>
      <c r="B107" s="70" t="s">
        <v>1000</v>
      </c>
      <c r="C107" s="74">
        <v>4.1842484710239098</v>
      </c>
    </row>
    <row r="108" spans="1:3" x14ac:dyDescent="0.3">
      <c r="A108" s="39" t="s">
        <v>61</v>
      </c>
      <c r="B108" s="70" t="s">
        <v>1000</v>
      </c>
      <c r="C108" s="74">
        <v>6.4753396248436657</v>
      </c>
    </row>
    <row r="109" spans="1:3" x14ac:dyDescent="0.3">
      <c r="A109" s="39" t="s">
        <v>89</v>
      </c>
      <c r="B109" s="70" t="s">
        <v>1000</v>
      </c>
      <c r="C109" s="74">
        <v>6.7094919928483892</v>
      </c>
    </row>
    <row r="110" spans="1:3" x14ac:dyDescent="0.3">
      <c r="A110" s="39" t="s">
        <v>117</v>
      </c>
      <c r="B110" s="70" t="s">
        <v>1000</v>
      </c>
      <c r="C110" s="74">
        <v>6.2085564346706201</v>
      </c>
    </row>
    <row r="111" spans="1:3" x14ac:dyDescent="0.3">
      <c r="A111" s="39" t="s">
        <v>123</v>
      </c>
      <c r="B111" s="70" t="s">
        <v>1000</v>
      </c>
      <c r="C111" s="74">
        <v>7.419312682373878</v>
      </c>
    </row>
    <row r="112" spans="1:3" x14ac:dyDescent="0.3">
      <c r="A112" s="39" t="s">
        <v>125</v>
      </c>
      <c r="B112" s="70" t="s">
        <v>1000</v>
      </c>
      <c r="C112" s="74">
        <v>4.6754712546149264</v>
      </c>
    </row>
    <row r="113" spans="1:3" x14ac:dyDescent="0.3">
      <c r="A113" s="39" t="s">
        <v>57</v>
      </c>
      <c r="B113" s="70" t="s">
        <v>1001</v>
      </c>
      <c r="C113" s="74">
        <v>23.222739740353646</v>
      </c>
    </row>
    <row r="114" spans="1:3" x14ac:dyDescent="0.3">
      <c r="A114" s="39" t="s">
        <v>42</v>
      </c>
      <c r="B114" s="70" t="s">
        <v>1000</v>
      </c>
      <c r="C114" s="74">
        <v>0.66733171900141897</v>
      </c>
    </row>
    <row r="115" spans="1:3" x14ac:dyDescent="0.3">
      <c r="A115" s="39" t="s">
        <v>45</v>
      </c>
      <c r="B115" s="70" t="s">
        <v>1000</v>
      </c>
      <c r="C115" s="74">
        <v>0.56771790814545575</v>
      </c>
    </row>
    <row r="116" spans="1:3" x14ac:dyDescent="0.3">
      <c r="A116" s="39" t="s">
        <v>46</v>
      </c>
      <c r="B116" s="70" t="s">
        <v>1000</v>
      </c>
      <c r="C116" s="74">
        <v>2.814225084976667</v>
      </c>
    </row>
    <row r="117" spans="1:3" x14ac:dyDescent="0.3">
      <c r="A117" s="39" t="s">
        <v>374</v>
      </c>
      <c r="B117" s="70" t="s">
        <v>577</v>
      </c>
      <c r="C117" s="74">
        <v>4.067486452659054</v>
      </c>
    </row>
    <row r="118" spans="1:3" x14ac:dyDescent="0.3">
      <c r="A118" s="39" t="s">
        <v>375</v>
      </c>
      <c r="B118" s="70" t="s">
        <v>577</v>
      </c>
      <c r="C118" s="74">
        <v>1.9489261822960435</v>
      </c>
    </row>
    <row r="119" spans="1:3" s="131" customFormat="1" x14ac:dyDescent="0.3">
      <c r="A119" s="39" t="s">
        <v>376</v>
      </c>
      <c r="B119" s="70" t="s">
        <v>731</v>
      </c>
      <c r="C119" s="74">
        <v>0</v>
      </c>
    </row>
    <row r="120" spans="1:3" x14ac:dyDescent="0.3">
      <c r="A120" s="39" t="s">
        <v>388</v>
      </c>
      <c r="B120" s="70" t="s">
        <v>590</v>
      </c>
      <c r="C120" s="74">
        <v>0.51447052329458698</v>
      </c>
    </row>
    <row r="121" spans="1:3" x14ac:dyDescent="0.3">
      <c r="A121" s="39" t="s">
        <v>389</v>
      </c>
      <c r="B121" s="70" t="s">
        <v>602</v>
      </c>
      <c r="C121" s="74">
        <v>0.60629049139006752</v>
      </c>
    </row>
    <row r="122" spans="1:3" x14ac:dyDescent="0.3">
      <c r="A122" s="39" t="s">
        <v>390</v>
      </c>
      <c r="B122" s="70" t="s">
        <v>1009</v>
      </c>
      <c r="C122" s="74">
        <v>24.701686141136339</v>
      </c>
    </row>
    <row r="123" spans="1:3" x14ac:dyDescent="0.3">
      <c r="A123" s="39" t="s">
        <v>391</v>
      </c>
      <c r="B123" s="70" t="s">
        <v>561</v>
      </c>
      <c r="C123" s="74">
        <v>2.3794331620169178</v>
      </c>
    </row>
    <row r="124" spans="1:3" x14ac:dyDescent="0.3">
      <c r="A124" s="39" t="s">
        <v>475</v>
      </c>
      <c r="B124" s="70" t="s">
        <v>602</v>
      </c>
      <c r="C124" s="74">
        <v>13.446032768350749</v>
      </c>
    </row>
    <row r="125" spans="1:3" x14ac:dyDescent="0.3">
      <c r="A125" s="75" t="s">
        <v>750</v>
      </c>
      <c r="B125" s="70" t="s">
        <v>748</v>
      </c>
      <c r="C125" s="74">
        <v>0.23004407510846425</v>
      </c>
    </row>
    <row r="126" spans="1:3" x14ac:dyDescent="0.3">
      <c r="A126" s="71" t="s">
        <v>752</v>
      </c>
      <c r="B126" s="70" t="s">
        <v>1008</v>
      </c>
      <c r="C126" s="74">
        <v>2.3307568207764655</v>
      </c>
    </row>
    <row r="127" spans="1:3" x14ac:dyDescent="0.3">
      <c r="A127" s="75" t="s">
        <v>789</v>
      </c>
      <c r="B127" s="70" t="s">
        <v>999</v>
      </c>
      <c r="C127" s="74">
        <v>0.18710270881855062</v>
      </c>
    </row>
    <row r="128" spans="1:3" x14ac:dyDescent="0.3">
      <c r="A128" s="39" t="s">
        <v>812</v>
      </c>
      <c r="B128" s="70" t="s">
        <v>590</v>
      </c>
      <c r="C128" s="74">
        <v>17.731070777343263</v>
      </c>
    </row>
    <row r="129" spans="1:3" x14ac:dyDescent="0.3">
      <c r="A129" s="75" t="s">
        <v>816</v>
      </c>
      <c r="B129" s="70" t="s">
        <v>1014</v>
      </c>
      <c r="C129" s="74">
        <v>1.7005689699647599</v>
      </c>
    </row>
    <row r="130" spans="1:3" x14ac:dyDescent="0.3">
      <c r="A130" s="75" t="s">
        <v>820</v>
      </c>
      <c r="B130" s="70" t="s">
        <v>1014</v>
      </c>
      <c r="C130" s="74">
        <v>1.136583238544624</v>
      </c>
    </row>
    <row r="131" spans="1:3" x14ac:dyDescent="0.3">
      <c r="A131" s="39" t="s">
        <v>846</v>
      </c>
      <c r="B131" s="70" t="s">
        <v>1001</v>
      </c>
      <c r="C131" s="74">
        <v>12.257552920582597</v>
      </c>
    </row>
    <row r="132" spans="1:3" x14ac:dyDescent="0.3">
      <c r="A132" s="39" t="s">
        <v>876</v>
      </c>
      <c r="B132" s="70" t="s">
        <v>998</v>
      </c>
      <c r="C132" s="74">
        <v>0</v>
      </c>
    </row>
    <row r="133" spans="1:3" x14ac:dyDescent="0.3">
      <c r="A133" s="35" t="s">
        <v>889</v>
      </c>
      <c r="B133" s="70" t="s">
        <v>1004</v>
      </c>
      <c r="C133" s="74">
        <v>19.631786732140053</v>
      </c>
    </row>
    <row r="134" spans="1:3" x14ac:dyDescent="0.3">
      <c r="A134" s="76" t="s">
        <v>893</v>
      </c>
      <c r="B134" s="70" t="s">
        <v>1014</v>
      </c>
      <c r="C134" s="74">
        <v>4.789460146835963</v>
      </c>
    </row>
    <row r="135" spans="1:3" x14ac:dyDescent="0.3">
      <c r="A135" s="39" t="s">
        <v>912</v>
      </c>
      <c r="B135" s="70" t="s">
        <v>1004</v>
      </c>
      <c r="C135" s="74">
        <v>10.527586947557506</v>
      </c>
    </row>
    <row r="136" spans="1:3" x14ac:dyDescent="0.3">
      <c r="A136" s="39" t="s">
        <v>916</v>
      </c>
      <c r="B136" s="70" t="s">
        <v>1000</v>
      </c>
      <c r="C136" s="74">
        <v>0.19374952337076978</v>
      </c>
    </row>
    <row r="137" spans="1:3" x14ac:dyDescent="0.3">
      <c r="A137" s="39" t="s">
        <v>939</v>
      </c>
      <c r="B137" s="70" t="s">
        <v>1004</v>
      </c>
      <c r="C137" s="74">
        <v>9.2957189123335944</v>
      </c>
    </row>
    <row r="138" spans="1:3" x14ac:dyDescent="0.3">
      <c r="A138" s="39" t="s">
        <v>287</v>
      </c>
      <c r="B138" s="70" t="s">
        <v>1004</v>
      </c>
      <c r="C138" s="74">
        <v>1.5619149693996526</v>
      </c>
    </row>
    <row r="139" spans="1:3" x14ac:dyDescent="0.3">
      <c r="A139" s="39" t="s">
        <v>294</v>
      </c>
      <c r="B139" s="70" t="s">
        <v>1004</v>
      </c>
      <c r="C139" s="74">
        <v>1.5239325151406049</v>
      </c>
    </row>
    <row r="140" spans="1:3" x14ac:dyDescent="0.3">
      <c r="A140" s="39" t="s">
        <v>290</v>
      </c>
      <c r="B140" s="70" t="s">
        <v>1004</v>
      </c>
      <c r="C140" s="74">
        <v>1.7369508287203668</v>
      </c>
    </row>
    <row r="141" spans="1:3" x14ac:dyDescent="0.3">
      <c r="A141" s="39" t="s">
        <v>234</v>
      </c>
      <c r="B141" s="70" t="s">
        <v>1011</v>
      </c>
      <c r="C141" s="74">
        <v>7.490291417449443</v>
      </c>
    </row>
    <row r="142" spans="1:3" x14ac:dyDescent="0.3">
      <c r="A142" s="39" t="s">
        <v>147</v>
      </c>
      <c r="B142" s="70" t="s">
        <v>1005</v>
      </c>
      <c r="C142" s="74">
        <v>23.172399462804503</v>
      </c>
    </row>
    <row r="143" spans="1:3" x14ac:dyDescent="0.3">
      <c r="A143" s="39" t="s">
        <v>148</v>
      </c>
      <c r="B143" s="70" t="s">
        <v>1004</v>
      </c>
      <c r="C143" s="74">
        <v>21.148671772283631</v>
      </c>
    </row>
    <row r="144" spans="1:3" x14ac:dyDescent="0.3">
      <c r="A144" s="39" t="s">
        <v>165</v>
      </c>
      <c r="B144" s="70" t="s">
        <v>1006</v>
      </c>
      <c r="C144" s="74">
        <v>0.43878855438285824</v>
      </c>
    </row>
    <row r="145" spans="1:3" x14ac:dyDescent="0.3">
      <c r="A145" s="39" t="s">
        <v>168</v>
      </c>
      <c r="B145" s="70" t="s">
        <v>1011</v>
      </c>
      <c r="C145" s="74">
        <v>18.405283544772924</v>
      </c>
    </row>
    <row r="146" spans="1:3" x14ac:dyDescent="0.3">
      <c r="A146" s="39" t="s">
        <v>170</v>
      </c>
      <c r="B146" s="70" t="s">
        <v>1011</v>
      </c>
      <c r="C146" s="74">
        <v>12.794700705104317</v>
      </c>
    </row>
    <row r="147" spans="1:3" x14ac:dyDescent="0.3">
      <c r="A147" s="39" t="s">
        <v>232</v>
      </c>
      <c r="B147" s="70" t="s">
        <v>1010</v>
      </c>
      <c r="C147" s="74">
        <v>1.789574394782699</v>
      </c>
    </row>
    <row r="148" spans="1:3" x14ac:dyDescent="0.3">
      <c r="A148" s="39" t="s">
        <v>296</v>
      </c>
      <c r="B148" s="70" t="s">
        <v>755</v>
      </c>
      <c r="C148" s="74">
        <v>0.37588352961435612</v>
      </c>
    </row>
    <row r="149" spans="1:3" x14ac:dyDescent="0.3">
      <c r="A149" s="39" t="s">
        <v>380</v>
      </c>
      <c r="B149" s="70" t="s">
        <v>669</v>
      </c>
      <c r="C149" s="74">
        <v>11.65743881259678</v>
      </c>
    </row>
    <row r="150" spans="1:3" x14ac:dyDescent="0.3">
      <c r="A150" s="39" t="s">
        <v>381</v>
      </c>
      <c r="B150" s="70" t="s">
        <v>669</v>
      </c>
      <c r="C150" s="74">
        <v>1.9281430163271129</v>
      </c>
    </row>
    <row r="151" spans="1:3" x14ac:dyDescent="0.3">
      <c r="A151" s="39" t="s">
        <v>382</v>
      </c>
      <c r="B151" s="70" t="s">
        <v>669</v>
      </c>
      <c r="C151" s="74">
        <v>0.42212558305526549</v>
      </c>
    </row>
    <row r="152" spans="1:3" x14ac:dyDescent="0.3">
      <c r="A152" s="39" t="s">
        <v>383</v>
      </c>
      <c r="B152" s="70" t="s">
        <v>669</v>
      </c>
      <c r="C152" s="74">
        <v>21.050742639251741</v>
      </c>
    </row>
    <row r="153" spans="1:3" x14ac:dyDescent="0.3">
      <c r="A153" s="39" t="s">
        <v>385</v>
      </c>
      <c r="B153" s="70" t="s">
        <v>669</v>
      </c>
      <c r="C153" s="74">
        <v>13.632081902964599</v>
      </c>
    </row>
    <row r="154" spans="1:3" x14ac:dyDescent="0.3">
      <c r="A154" s="39" t="s">
        <v>386</v>
      </c>
      <c r="B154" s="70" t="s">
        <v>1011</v>
      </c>
      <c r="C154" s="74">
        <v>5.5919136174199959</v>
      </c>
    </row>
    <row r="155" spans="1:3" x14ac:dyDescent="0.3">
      <c r="A155" s="39" t="s">
        <v>772</v>
      </c>
      <c r="B155" s="70" t="s">
        <v>1002</v>
      </c>
      <c r="C155" s="74">
        <v>30.037709702375544</v>
      </c>
    </row>
    <row r="156" spans="1:3" x14ac:dyDescent="0.3">
      <c r="A156" s="39" t="s">
        <v>761</v>
      </c>
      <c r="B156" s="70" t="s">
        <v>1006</v>
      </c>
      <c r="C156" s="74">
        <v>0.71762888500316424</v>
      </c>
    </row>
    <row r="157" spans="1:3" x14ac:dyDescent="0.3">
      <c r="A157" s="39" t="s">
        <v>762</v>
      </c>
      <c r="B157" s="70" t="s">
        <v>755</v>
      </c>
      <c r="C157" s="74">
        <v>0.63626694856259092</v>
      </c>
    </row>
    <row r="158" spans="1:3" x14ac:dyDescent="0.3">
      <c r="A158" s="35" t="s">
        <v>904</v>
      </c>
      <c r="B158" s="70" t="s">
        <v>899</v>
      </c>
      <c r="C158" s="74">
        <v>1.989668595899414</v>
      </c>
    </row>
    <row r="159" spans="1:3" x14ac:dyDescent="0.3">
      <c r="A159" s="35" t="s">
        <v>906</v>
      </c>
      <c r="B159" s="70" t="s">
        <v>1004</v>
      </c>
      <c r="C159" s="74">
        <v>2.0141034419413328</v>
      </c>
    </row>
    <row r="160" spans="1:3" x14ac:dyDescent="0.3">
      <c r="A160" s="35" t="s">
        <v>910</v>
      </c>
      <c r="B160" s="70" t="s">
        <v>1004</v>
      </c>
      <c r="C160" s="74">
        <v>2.8590638493982405</v>
      </c>
    </row>
    <row r="161" spans="1:3" x14ac:dyDescent="0.3">
      <c r="A161" s="35" t="s">
        <v>914</v>
      </c>
      <c r="B161" s="70" t="s">
        <v>899</v>
      </c>
      <c r="C161" s="74">
        <v>2.1362355825722199</v>
      </c>
    </row>
    <row r="162" spans="1:3" x14ac:dyDescent="0.3">
      <c r="A162" s="210"/>
      <c r="B162" s="70"/>
      <c r="C162" s="74"/>
    </row>
    <row r="163" spans="1:3" x14ac:dyDescent="0.3">
      <c r="A163" s="210"/>
      <c r="B163" s="70"/>
      <c r="C163" s="74"/>
    </row>
    <row r="164" spans="1:3" x14ac:dyDescent="0.3">
      <c r="A164" s="210"/>
      <c r="B164" s="70"/>
      <c r="C164" s="74"/>
    </row>
    <row r="165" spans="1:3" x14ac:dyDescent="0.3">
      <c r="A165" s="210"/>
      <c r="B165" s="70"/>
      <c r="C165" s="74"/>
    </row>
    <row r="166" spans="1:3" x14ac:dyDescent="0.3">
      <c r="A166" s="210"/>
      <c r="B166" s="70"/>
      <c r="C166" s="74"/>
    </row>
    <row r="167" spans="1:3" x14ac:dyDescent="0.3">
      <c r="A167" s="210"/>
      <c r="B167" s="70"/>
      <c r="C167" s="74"/>
    </row>
    <row r="168" spans="1:3" x14ac:dyDescent="0.3">
      <c r="A168" s="212" t="s">
        <v>957</v>
      </c>
      <c r="B168" s="70" t="s">
        <v>1000</v>
      </c>
      <c r="C168" s="74">
        <v>10</v>
      </c>
    </row>
    <row r="169" spans="1:3" x14ac:dyDescent="0.3">
      <c r="A169" s="212" t="s">
        <v>986</v>
      </c>
      <c r="B169" s="70" t="s">
        <v>1007</v>
      </c>
      <c r="C169" s="74">
        <v>0</v>
      </c>
    </row>
    <row r="170" spans="1:3" x14ac:dyDescent="0.3">
      <c r="A170" s="212" t="s">
        <v>987</v>
      </c>
      <c r="B170" s="70" t="s">
        <v>960</v>
      </c>
      <c r="C170" s="74">
        <v>0</v>
      </c>
    </row>
    <row r="171" spans="1:3" x14ac:dyDescent="0.3">
      <c r="A171" s="212" t="s">
        <v>1045</v>
      </c>
      <c r="B171" s="70" t="s">
        <v>740</v>
      </c>
      <c r="C171" s="74">
        <v>0</v>
      </c>
    </row>
    <row r="172" spans="1:3" x14ac:dyDescent="0.3">
      <c r="A172" s="212" t="s">
        <v>1055</v>
      </c>
      <c r="B172" s="70" t="s">
        <v>570</v>
      </c>
      <c r="C172" s="74">
        <v>5</v>
      </c>
    </row>
    <row r="173" spans="1:3" x14ac:dyDescent="0.3">
      <c r="A173" s="212" t="s">
        <v>1056</v>
      </c>
      <c r="B173" s="70" t="s">
        <v>570</v>
      </c>
      <c r="C173" s="74">
        <v>5</v>
      </c>
    </row>
    <row r="174" spans="1:3" x14ac:dyDescent="0.3">
      <c r="A174" s="213" t="s">
        <v>1057</v>
      </c>
      <c r="B174" s="70" t="s">
        <v>570</v>
      </c>
      <c r="C174" s="74">
        <v>0.75</v>
      </c>
    </row>
    <row r="175" spans="1:3" x14ac:dyDescent="0.3">
      <c r="A175" s="213" t="s">
        <v>1067</v>
      </c>
      <c r="B175" s="70" t="s">
        <v>748</v>
      </c>
      <c r="C175" s="74"/>
    </row>
    <row r="176" spans="1:3" x14ac:dyDescent="0.3">
      <c r="A176" s="213" t="s">
        <v>1069</v>
      </c>
      <c r="B176" s="70" t="s">
        <v>748</v>
      </c>
      <c r="C176" s="74"/>
    </row>
    <row r="177" spans="1:3" x14ac:dyDescent="0.3">
      <c r="A177" s="214" t="s">
        <v>1081</v>
      </c>
      <c r="B177" s="35" t="s">
        <v>1009</v>
      </c>
      <c r="C177" s="211">
        <v>0</v>
      </c>
    </row>
    <row r="178" spans="1:3" x14ac:dyDescent="0.3">
      <c r="A178" s="214" t="s">
        <v>1135</v>
      </c>
      <c r="B178" s="35" t="s">
        <v>1000</v>
      </c>
      <c r="C178" s="211"/>
    </row>
    <row r="179" spans="1:3" x14ac:dyDescent="0.3">
      <c r="A179" s="197" t="s">
        <v>1161</v>
      </c>
      <c r="B179" s="70" t="s">
        <v>1000</v>
      </c>
      <c r="C179" s="74"/>
    </row>
    <row r="180" spans="1:3" x14ac:dyDescent="0.3">
      <c r="A180" s="197" t="s">
        <v>1162</v>
      </c>
      <c r="B180" s="70" t="s">
        <v>1000</v>
      </c>
      <c r="C180" s="74"/>
    </row>
    <row r="181" spans="1:3" x14ac:dyDescent="0.3">
      <c r="A181" s="197" t="s">
        <v>1163</v>
      </c>
      <c r="B181" s="70" t="s">
        <v>1000</v>
      </c>
      <c r="C181" s="74"/>
    </row>
    <row r="182" spans="1:3" x14ac:dyDescent="0.3">
      <c r="A182" s="197" t="s">
        <v>1164</v>
      </c>
      <c r="B182" s="70" t="s">
        <v>1000</v>
      </c>
      <c r="C182" s="74"/>
    </row>
    <row r="183" spans="1:3" x14ac:dyDescent="0.3">
      <c r="A183" s="197" t="s">
        <v>1165</v>
      </c>
      <c r="B183" s="70" t="s">
        <v>1000</v>
      </c>
      <c r="C183" s="211"/>
    </row>
    <row r="184" spans="1:3" x14ac:dyDescent="0.3">
      <c r="A184" s="70" t="s">
        <v>1839</v>
      </c>
      <c r="B184" s="70" t="s">
        <v>1861</v>
      </c>
      <c r="C184" s="74">
        <v>0.4</v>
      </c>
    </row>
    <row r="185" spans="1:3" x14ac:dyDescent="0.3">
      <c r="A185" s="70" t="s">
        <v>1840</v>
      </c>
      <c r="B185" s="70" t="s">
        <v>1861</v>
      </c>
      <c r="C185" s="74">
        <v>0.4</v>
      </c>
    </row>
    <row r="186" spans="1:3" x14ac:dyDescent="0.3">
      <c r="A186" s="70" t="s">
        <v>1841</v>
      </c>
      <c r="B186" s="70" t="s">
        <v>1861</v>
      </c>
      <c r="C186" s="74">
        <v>0.4</v>
      </c>
    </row>
    <row r="187" spans="1:3" x14ac:dyDescent="0.3">
      <c r="A187" s="70" t="s">
        <v>1842</v>
      </c>
      <c r="B187" s="70" t="s">
        <v>1861</v>
      </c>
      <c r="C187" s="74">
        <v>0.4</v>
      </c>
    </row>
    <row r="188" spans="1:3" x14ac:dyDescent="0.3">
      <c r="A188" s="70" t="s">
        <v>1843</v>
      </c>
      <c r="B188" s="70" t="s">
        <v>611</v>
      </c>
      <c r="C188" s="74">
        <v>8</v>
      </c>
    </row>
    <row r="189" spans="1:3" x14ac:dyDescent="0.3">
      <c r="A189" s="325" t="s">
        <v>1844</v>
      </c>
      <c r="B189" s="70" t="s">
        <v>611</v>
      </c>
      <c r="C189" s="74">
        <v>27</v>
      </c>
    </row>
    <row r="190" spans="1:3" x14ac:dyDescent="0.3">
      <c r="A190" s="325" t="s">
        <v>302</v>
      </c>
      <c r="B190" s="70" t="s">
        <v>1879</v>
      </c>
      <c r="C190" s="74"/>
    </row>
    <row r="191" spans="1:3" x14ac:dyDescent="0.3">
      <c r="A191" s="325" t="s">
        <v>1255</v>
      </c>
      <c r="B191" s="70" t="s">
        <v>635</v>
      </c>
      <c r="C191" s="74"/>
    </row>
    <row r="192" spans="1:3" x14ac:dyDescent="0.3">
      <c r="A192" s="325" t="s">
        <v>1267</v>
      </c>
      <c r="B192" s="70" t="s">
        <v>635</v>
      </c>
      <c r="C192" s="74"/>
    </row>
    <row r="193" spans="1:3" x14ac:dyDescent="0.3">
      <c r="A193" s="325" t="s">
        <v>1273</v>
      </c>
      <c r="B193" s="70" t="s">
        <v>1000</v>
      </c>
      <c r="C193" s="74"/>
    </row>
    <row r="194" spans="1:3" x14ac:dyDescent="0.3">
      <c r="A194" s="325" t="s">
        <v>1416</v>
      </c>
      <c r="B194" s="70" t="s">
        <v>1872</v>
      </c>
      <c r="C194" s="74"/>
    </row>
    <row r="195" spans="1:3" x14ac:dyDescent="0.3">
      <c r="A195" s="325" t="s">
        <v>1417</v>
      </c>
      <c r="B195" s="70" t="s">
        <v>1872</v>
      </c>
      <c r="C195" s="74"/>
    </row>
    <row r="196" spans="1:3" x14ac:dyDescent="0.3">
      <c r="A196" s="325" t="s">
        <v>1418</v>
      </c>
      <c r="B196" s="70" t="s">
        <v>1872</v>
      </c>
      <c r="C196" s="74"/>
    </row>
    <row r="197" spans="1:3" x14ac:dyDescent="0.3">
      <c r="A197" s="325" t="s">
        <v>1419</v>
      </c>
      <c r="B197" s="70" t="s">
        <v>1872</v>
      </c>
      <c r="C197" s="74"/>
    </row>
    <row r="198" spans="1:3" x14ac:dyDescent="0.3">
      <c r="A198" s="325" t="s">
        <v>1565</v>
      </c>
      <c r="B198" s="70" t="s">
        <v>611</v>
      </c>
      <c r="C198" s="74"/>
    </row>
    <row r="199" spans="1:3" x14ac:dyDescent="0.3">
      <c r="A199" s="726" t="s">
        <v>1567</v>
      </c>
      <c r="B199" s="70" t="s">
        <v>1013</v>
      </c>
      <c r="C199" s="74"/>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B1:BH268"/>
  <sheetViews>
    <sheetView showGridLines="0" showZeros="0" zoomScale="70" zoomScaleNormal="70" workbookViewId="0">
      <pane ySplit="2" topLeftCell="A3" activePane="bottomLeft" state="frozen"/>
      <selection activeCell="AS915" sqref="AS915"/>
      <selection pane="bottomLeft" activeCell="E30" sqref="E28:E30"/>
    </sheetView>
  </sheetViews>
  <sheetFormatPr defaultColWidth="9.109375" defaultRowHeight="14.4" x14ac:dyDescent="0.3"/>
  <cols>
    <col min="1" max="1" width="1.88671875" style="646" customWidth="1"/>
    <col min="2" max="2" width="17.77734375" style="646" customWidth="1"/>
    <col min="3" max="3" width="19.33203125" style="646" customWidth="1"/>
    <col min="4" max="4" width="7.21875" style="646" customWidth="1"/>
    <col min="5" max="5" width="12.44140625" style="646" customWidth="1"/>
    <col min="6" max="6" width="13.88671875" style="646" customWidth="1"/>
    <col min="7" max="7" width="25" style="646" customWidth="1"/>
    <col min="8" max="8" width="16.44140625" style="646" customWidth="1"/>
    <col min="9" max="9" width="11.33203125" style="646" customWidth="1"/>
    <col min="10" max="10" width="7.33203125" style="646" customWidth="1"/>
    <col min="11" max="11" width="11.33203125" style="646" customWidth="1"/>
    <col min="12" max="12" width="8.6640625" style="646" customWidth="1"/>
    <col min="13" max="13" width="11.33203125" style="646" customWidth="1"/>
    <col min="14" max="14" width="12.33203125" style="646" customWidth="1"/>
    <col min="15" max="15" width="9.109375" style="646"/>
    <col min="16" max="16" width="0" style="646" hidden="1" customWidth="1"/>
    <col min="17" max="17" width="19.44140625" style="646" hidden="1" customWidth="1"/>
    <col min="18" max="18" width="20.5546875" style="646" hidden="1" customWidth="1"/>
    <col min="19" max="19" width="0" style="646" hidden="1" customWidth="1"/>
    <col min="20" max="20" width="9.109375" style="646"/>
    <col min="21" max="21" width="15.6640625" style="646" customWidth="1"/>
    <col min="22" max="22" width="16.109375" style="646" customWidth="1"/>
    <col min="23" max="23" width="9.109375" style="646"/>
    <col min="24" max="24" width="15.5546875" style="646" customWidth="1"/>
    <col min="25" max="25" width="10.6640625" style="646" customWidth="1"/>
    <col min="26" max="26" width="26.6640625" style="646" customWidth="1"/>
    <col min="27" max="27" width="10.109375" style="646" customWidth="1"/>
    <col min="28" max="28" width="9.109375" style="646"/>
    <col min="29" max="29" width="7.44140625" style="646" customWidth="1"/>
    <col min="30" max="30" width="7" style="646" customWidth="1"/>
    <col min="31" max="31" width="6.5546875" style="646" customWidth="1"/>
    <col min="32" max="32" width="9.88671875" style="646" bestFit="1" customWidth="1"/>
    <col min="33" max="33" width="7.109375" style="646" customWidth="1"/>
    <col min="34" max="34" width="8.109375" style="646" customWidth="1"/>
    <col min="35" max="35" width="6" style="646" customWidth="1"/>
    <col min="36" max="36" width="8" style="646" customWidth="1"/>
    <col min="37" max="37" width="9.44140625" style="646" bestFit="1" customWidth="1"/>
    <col min="38" max="38" width="9" style="646" customWidth="1"/>
    <col min="39" max="39" width="10.88671875" style="646" bestFit="1" customWidth="1"/>
    <col min="40" max="40" width="9.88671875" style="646" bestFit="1" customWidth="1"/>
    <col min="41" max="41" width="13.88671875" style="646" bestFit="1" customWidth="1"/>
    <col min="42" max="43" width="7.33203125" style="646" customWidth="1"/>
    <col min="44" max="44" width="11.5546875" style="646" bestFit="1" customWidth="1"/>
    <col min="45" max="16384" width="9.109375" style="646"/>
  </cols>
  <sheetData>
    <row r="1" spans="2:60" ht="11.4" customHeight="1" x14ac:dyDescent="0.3"/>
    <row r="2" spans="2:60" s="647" customFormat="1" ht="63.75" customHeight="1" x14ac:dyDescent="0.3">
      <c r="B2" s="98" t="s">
        <v>1387</v>
      </c>
      <c r="C2" s="99"/>
      <c r="D2" s="99"/>
      <c r="E2" s="99"/>
      <c r="F2" s="99"/>
      <c r="G2" s="99"/>
      <c r="H2" s="99"/>
      <c r="I2" s="99"/>
      <c r="J2" s="99"/>
      <c r="K2" s="99"/>
      <c r="L2" s="99"/>
      <c r="M2" s="99"/>
      <c r="N2" s="99"/>
      <c r="O2" s="648"/>
      <c r="P2" s="649"/>
      <c r="Q2" s="649"/>
      <c r="R2" s="649"/>
      <c r="S2" s="649"/>
      <c r="T2" s="99"/>
      <c r="U2" s="99"/>
      <c r="V2" s="99"/>
      <c r="W2" s="99"/>
      <c r="X2" s="99"/>
      <c r="Y2" s="99"/>
      <c r="Z2" s="394"/>
      <c r="BG2" s="15"/>
      <c r="BH2" s="15"/>
    </row>
    <row r="3" spans="2:60" s="20" customFormat="1" ht="18" customHeight="1" x14ac:dyDescent="0.3">
      <c r="B3" s="730">
        <f>Definition!B23</f>
        <v>43191</v>
      </c>
      <c r="C3" s="731"/>
      <c r="D3" s="731"/>
      <c r="E3" s="100"/>
      <c r="F3" s="100"/>
      <c r="G3" s="100"/>
      <c r="H3" s="100"/>
      <c r="I3" s="100"/>
      <c r="J3" s="100"/>
      <c r="K3" s="100"/>
      <c r="L3" s="100"/>
      <c r="M3" s="100"/>
      <c r="N3" s="100"/>
      <c r="O3" s="107"/>
      <c r="P3" s="395"/>
      <c r="Q3" s="395"/>
      <c r="R3" s="395"/>
      <c r="S3" s="395"/>
      <c r="T3" s="396"/>
      <c r="U3" s="396"/>
      <c r="V3" s="396"/>
      <c r="W3" s="396"/>
      <c r="X3" s="396"/>
      <c r="Y3" s="396"/>
      <c r="Z3" s="397"/>
      <c r="BG3" s="16"/>
      <c r="BH3" s="16"/>
    </row>
    <row r="4" spans="2:60" s="20" customFormat="1" ht="36" customHeight="1" x14ac:dyDescent="0.45">
      <c r="B4" s="452" t="s">
        <v>1433</v>
      </c>
      <c r="C4" s="650"/>
      <c r="D4" s="82"/>
      <c r="E4" s="82"/>
      <c r="F4" s="82"/>
      <c r="G4" s="82"/>
      <c r="H4" s="83"/>
      <c r="I4" s="83"/>
      <c r="J4" s="83"/>
      <c r="K4" s="83"/>
      <c r="L4" s="651"/>
      <c r="M4" s="743" t="s">
        <v>1432</v>
      </c>
      <c r="N4" s="743"/>
      <c r="O4" s="734" t="s">
        <v>1460</v>
      </c>
      <c r="P4" s="734"/>
      <c r="Q4" s="734"/>
      <c r="R4" s="734"/>
      <c r="S4" s="734"/>
      <c r="T4" s="734"/>
      <c r="U4" s="483" t="s">
        <v>1459</v>
      </c>
      <c r="V4" s="103"/>
      <c r="W4" s="652"/>
      <c r="X4" s="741" t="str">
        <f>IF(O4="All","Kachin &amp; Northern Shan",IF(O4="Kachin","Kachin",IF(O4="Shan_North","Northern Shan","")))</f>
        <v>Kachin &amp; Northern Shan</v>
      </c>
      <c r="Y4" s="741"/>
      <c r="Z4" s="741"/>
      <c r="BG4" s="16"/>
      <c r="BH4" s="16"/>
    </row>
    <row r="5" spans="2:60" s="20" customFormat="1" ht="16.5" customHeight="1" x14ac:dyDescent="0.3">
      <c r="B5" s="139" t="s">
        <v>392</v>
      </c>
      <c r="C5" s="323" t="s">
        <v>537</v>
      </c>
      <c r="D5" s="653" t="s">
        <v>413</v>
      </c>
      <c r="E5" s="84"/>
      <c r="F5" s="84"/>
      <c r="G5" s="84"/>
      <c r="H5" s="84"/>
      <c r="I5" s="84"/>
      <c r="J5" s="84"/>
      <c r="K5" s="84"/>
      <c r="L5" s="84"/>
      <c r="M5" s="739" t="s">
        <v>1414</v>
      </c>
      <c r="N5" s="739"/>
      <c r="O5" s="739"/>
      <c r="P5" s="739"/>
      <c r="Q5" s="739"/>
      <c r="R5" s="739"/>
      <c r="S5" s="739"/>
      <c r="T5" s="739"/>
      <c r="U5" s="739"/>
      <c r="V5" s="654"/>
      <c r="W5" s="654"/>
      <c r="X5" s="654"/>
      <c r="Y5" s="654"/>
      <c r="Z5" s="737">
        <f ca="1">IF(O4="All",SUMIF(CampList[[#All],[Status]:[Total]],"Open",CampList[[#All],[Total]]),SUMIFS(CampList[[#All],[Total]],CampList[[#All],[Status]],"Open",CampList[[#All],[State]],O4))</f>
        <v>103236</v>
      </c>
      <c r="AA5" s="655"/>
      <c r="BG5" s="16"/>
      <c r="BH5" s="16"/>
    </row>
    <row r="6" spans="2:60" ht="18" customHeight="1" x14ac:dyDescent="0.3">
      <c r="B6" s="139" t="s">
        <v>1036</v>
      </c>
      <c r="C6" s="323" t="s">
        <v>995</v>
      </c>
      <c r="M6" s="740"/>
      <c r="N6" s="740"/>
      <c r="O6" s="740"/>
      <c r="P6" s="740"/>
      <c r="Q6" s="740"/>
      <c r="R6" s="740"/>
      <c r="S6" s="740"/>
      <c r="T6" s="740"/>
      <c r="U6" s="740"/>
      <c r="V6" s="656"/>
      <c r="W6" s="656"/>
      <c r="X6" s="656"/>
      <c r="Y6" s="656"/>
      <c r="Z6" s="738"/>
      <c r="AA6" s="657"/>
    </row>
    <row r="7" spans="2:60" ht="14.4" customHeight="1" x14ac:dyDescent="0.3">
      <c r="B7" s="139" t="s">
        <v>458</v>
      </c>
      <c r="C7" s="323" t="s">
        <v>460</v>
      </c>
      <c r="M7" s="739" t="s">
        <v>1415</v>
      </c>
      <c r="N7" s="739"/>
      <c r="O7" s="739"/>
      <c r="P7" s="739"/>
      <c r="Q7" s="739"/>
      <c r="R7" s="739"/>
      <c r="S7" s="739"/>
      <c r="T7" s="739"/>
      <c r="U7" s="739"/>
      <c r="V7" s="658"/>
      <c r="W7" s="658"/>
      <c r="X7" s="658"/>
      <c r="Y7" s="658"/>
      <c r="Z7" s="736">
        <f>IF(O4="All",COUNTIF(CampList[[#All],[Status]],"Open"),COUNTIFS(CampList[[#All],[Status]],"Open",CampList[[#All],[State]],O4))</f>
        <v>169</v>
      </c>
    </row>
    <row r="8" spans="2:60" x14ac:dyDescent="0.3">
      <c r="M8" s="739"/>
      <c r="N8" s="739"/>
      <c r="O8" s="739"/>
      <c r="P8" s="739"/>
      <c r="Q8" s="137" t="s">
        <v>392</v>
      </c>
      <c r="R8" s="134" t="s">
        <v>537</v>
      </c>
      <c r="S8" s="739"/>
      <c r="T8" s="739"/>
      <c r="U8" s="739"/>
      <c r="V8" s="658"/>
      <c r="W8" s="658"/>
      <c r="X8" s="658"/>
      <c r="Y8" s="658"/>
      <c r="Z8" s="736"/>
    </row>
    <row r="9" spans="2:60" ht="31.2" x14ac:dyDescent="0.3">
      <c r="B9" s="139" t="s">
        <v>0</v>
      </c>
      <c r="C9" s="453" t="s">
        <v>1434</v>
      </c>
      <c r="D9" s="453" t="s">
        <v>1455</v>
      </c>
      <c r="M9" s="735"/>
      <c r="N9" s="735"/>
      <c r="O9" s="735"/>
      <c r="P9" s="735"/>
      <c r="Q9" s="134" t="s">
        <v>458</v>
      </c>
      <c r="R9" s="134" t="s">
        <v>460</v>
      </c>
      <c r="S9" s="735" t="s">
        <v>413</v>
      </c>
      <c r="T9" s="735"/>
      <c r="U9" s="735"/>
      <c r="V9" s="659"/>
      <c r="W9" s="659"/>
    </row>
    <row r="10" spans="2:60" x14ac:dyDescent="0.3">
      <c r="B10" s="6" t="s">
        <v>5</v>
      </c>
      <c r="C10" s="133">
        <v>1480</v>
      </c>
      <c r="D10" s="133">
        <v>8307</v>
      </c>
      <c r="T10" s="659"/>
      <c r="U10" s="659"/>
      <c r="V10" s="659"/>
      <c r="W10" s="659"/>
      <c r="X10" s="650"/>
      <c r="Y10" s="650"/>
    </row>
    <row r="11" spans="2:60" x14ac:dyDescent="0.3">
      <c r="B11" s="6" t="s">
        <v>27</v>
      </c>
      <c r="C11" s="133">
        <v>497</v>
      </c>
      <c r="D11" s="133">
        <v>2471</v>
      </c>
      <c r="Q11" s="134" t="s">
        <v>410</v>
      </c>
      <c r="R11" s="134" t="s">
        <v>412</v>
      </c>
      <c r="S11" s="650"/>
      <c r="T11" s="659"/>
      <c r="U11" s="659"/>
      <c r="V11" s="659"/>
      <c r="W11" s="659"/>
      <c r="X11" s="650"/>
      <c r="Y11" s="650"/>
    </row>
    <row r="12" spans="2:60" x14ac:dyDescent="0.3">
      <c r="B12" s="6" t="s">
        <v>480</v>
      </c>
      <c r="C12" s="133">
        <v>706</v>
      </c>
      <c r="D12" s="133">
        <v>3587</v>
      </c>
      <c r="Q12" s="135" t="s">
        <v>5</v>
      </c>
      <c r="R12" s="136">
        <v>8307</v>
      </c>
      <c r="S12" s="650"/>
      <c r="T12" s="659"/>
      <c r="U12" s="659"/>
      <c r="V12" s="659"/>
      <c r="W12" s="659"/>
      <c r="X12" s="650"/>
      <c r="Y12" s="650"/>
    </row>
    <row r="13" spans="2:60" x14ac:dyDescent="0.3">
      <c r="B13" s="6" t="s">
        <v>719</v>
      </c>
      <c r="C13" s="133">
        <v>99</v>
      </c>
      <c r="D13" s="133">
        <v>559</v>
      </c>
      <c r="Q13" s="135" t="s">
        <v>27</v>
      </c>
      <c r="R13" s="136">
        <v>2471</v>
      </c>
      <c r="S13" s="650"/>
      <c r="T13" s="659"/>
      <c r="U13" s="659"/>
      <c r="V13" s="659"/>
      <c r="W13" s="659"/>
      <c r="X13" s="650"/>
      <c r="Y13" s="650"/>
    </row>
    <row r="14" spans="2:60" x14ac:dyDescent="0.3">
      <c r="B14" s="6" t="s">
        <v>1201</v>
      </c>
      <c r="C14" s="133">
        <v>37</v>
      </c>
      <c r="D14" s="133">
        <v>120</v>
      </c>
      <c r="Q14" s="135" t="s">
        <v>480</v>
      </c>
      <c r="R14" s="136">
        <v>3587</v>
      </c>
      <c r="S14" s="650"/>
      <c r="X14" s="650"/>
      <c r="Y14" s="650"/>
    </row>
    <row r="15" spans="2:60" x14ac:dyDescent="0.3">
      <c r="B15" s="6" t="s">
        <v>146</v>
      </c>
      <c r="C15" s="133">
        <v>867</v>
      </c>
      <c r="D15" s="133">
        <v>4193</v>
      </c>
      <c r="Q15" s="135" t="s">
        <v>719</v>
      </c>
      <c r="R15" s="136">
        <v>559</v>
      </c>
      <c r="S15" s="650"/>
      <c r="X15" s="650"/>
      <c r="Y15" s="650"/>
    </row>
    <row r="16" spans="2:60" x14ac:dyDescent="0.3">
      <c r="B16" s="6" t="s">
        <v>151</v>
      </c>
      <c r="C16" s="133">
        <v>2833</v>
      </c>
      <c r="D16" s="133">
        <v>13390</v>
      </c>
      <c r="Q16" s="135" t="s">
        <v>1201</v>
      </c>
      <c r="R16" s="136">
        <v>120</v>
      </c>
      <c r="S16" s="650"/>
      <c r="X16" s="650"/>
      <c r="Y16" s="650"/>
    </row>
    <row r="17" spans="2:25" x14ac:dyDescent="0.3">
      <c r="B17" s="6" t="s">
        <v>166</v>
      </c>
      <c r="C17" s="133">
        <v>98</v>
      </c>
      <c r="D17" s="133">
        <v>541</v>
      </c>
      <c r="Q17" s="135" t="s">
        <v>146</v>
      </c>
      <c r="R17" s="136">
        <v>4193</v>
      </c>
      <c r="S17" s="650"/>
      <c r="X17" s="650"/>
      <c r="Y17" s="650"/>
    </row>
    <row r="18" spans="2:25" x14ac:dyDescent="0.3">
      <c r="B18" s="6" t="s">
        <v>173</v>
      </c>
      <c r="C18" s="133">
        <v>343</v>
      </c>
      <c r="D18" s="133">
        <v>1465</v>
      </c>
      <c r="Q18" s="135" t="s">
        <v>151</v>
      </c>
      <c r="R18" s="136">
        <v>13390</v>
      </c>
      <c r="S18" s="650"/>
      <c r="X18" s="650"/>
      <c r="Y18" s="650"/>
    </row>
    <row r="19" spans="2:25" x14ac:dyDescent="0.3">
      <c r="B19" s="6" t="s">
        <v>180</v>
      </c>
      <c r="C19" s="133">
        <v>76</v>
      </c>
      <c r="D19" s="133">
        <v>354</v>
      </c>
      <c r="Q19" s="135" t="s">
        <v>166</v>
      </c>
      <c r="R19" s="136">
        <v>541</v>
      </c>
      <c r="S19" s="650"/>
      <c r="X19" s="650"/>
      <c r="Y19" s="650"/>
    </row>
    <row r="20" spans="2:25" x14ac:dyDescent="0.3">
      <c r="B20" s="6" t="s">
        <v>185</v>
      </c>
      <c r="C20" s="133">
        <v>4745</v>
      </c>
      <c r="D20" s="133">
        <v>24925</v>
      </c>
      <c r="Q20" s="135" t="s">
        <v>173</v>
      </c>
      <c r="R20" s="136">
        <v>1465</v>
      </c>
      <c r="S20" s="650"/>
      <c r="X20" s="650"/>
      <c r="Y20" s="650"/>
    </row>
    <row r="21" spans="2:25" x14ac:dyDescent="0.3">
      <c r="B21" s="6" t="s">
        <v>230</v>
      </c>
      <c r="C21" s="133">
        <v>213</v>
      </c>
      <c r="D21" s="133">
        <v>1053</v>
      </c>
      <c r="Q21" s="135" t="s">
        <v>180</v>
      </c>
      <c r="R21" s="136">
        <v>354</v>
      </c>
      <c r="S21" s="650"/>
      <c r="X21" s="650"/>
      <c r="Y21" s="650"/>
    </row>
    <row r="22" spans="2:25" x14ac:dyDescent="0.3">
      <c r="B22" s="6" t="s">
        <v>237</v>
      </c>
      <c r="C22" s="133">
        <v>2255</v>
      </c>
      <c r="D22" s="133">
        <v>11250</v>
      </c>
      <c r="Q22" s="135" t="s">
        <v>185</v>
      </c>
      <c r="R22" s="136">
        <v>24925</v>
      </c>
      <c r="S22" s="650"/>
      <c r="X22" s="650"/>
      <c r="Y22" s="650"/>
    </row>
    <row r="23" spans="2:25" x14ac:dyDescent="0.3">
      <c r="B23" s="6" t="s">
        <v>288</v>
      </c>
      <c r="C23" s="133">
        <v>410</v>
      </c>
      <c r="D23" s="133">
        <v>1977</v>
      </c>
      <c r="Q23" s="135" t="s">
        <v>230</v>
      </c>
      <c r="R23" s="136">
        <v>1053</v>
      </c>
      <c r="S23" s="650"/>
      <c r="X23" s="650"/>
      <c r="Y23" s="650"/>
    </row>
    <row r="24" spans="2:25" x14ac:dyDescent="0.3">
      <c r="B24" s="6" t="s">
        <v>297</v>
      </c>
      <c r="C24" s="133">
        <v>162</v>
      </c>
      <c r="D24" s="133">
        <v>757</v>
      </c>
      <c r="Q24" s="135" t="s">
        <v>237</v>
      </c>
      <c r="R24" s="136">
        <v>11250</v>
      </c>
      <c r="S24" s="650"/>
      <c r="X24" s="650"/>
      <c r="Y24" s="650"/>
    </row>
    <row r="25" spans="2:25" x14ac:dyDescent="0.3">
      <c r="B25" s="6" t="s">
        <v>299</v>
      </c>
      <c r="C25" s="133">
        <v>85</v>
      </c>
      <c r="D25" s="133">
        <v>412</v>
      </c>
      <c r="Q25" s="135" t="s">
        <v>288</v>
      </c>
      <c r="R25" s="136">
        <v>1977</v>
      </c>
      <c r="S25" s="650"/>
      <c r="X25" s="650"/>
      <c r="Y25" s="650"/>
    </row>
    <row r="26" spans="2:25" x14ac:dyDescent="0.3">
      <c r="B26" s="6" t="s">
        <v>301</v>
      </c>
      <c r="C26" s="133">
        <v>134</v>
      </c>
      <c r="D26" s="133">
        <v>529</v>
      </c>
      <c r="Q26" s="135" t="s">
        <v>297</v>
      </c>
      <c r="R26" s="136">
        <v>757</v>
      </c>
      <c r="S26" s="650"/>
      <c r="X26" s="650"/>
      <c r="Y26" s="650"/>
    </row>
    <row r="27" spans="2:25" x14ac:dyDescent="0.3">
      <c r="B27" s="6" t="s">
        <v>746</v>
      </c>
      <c r="C27" s="133">
        <v>198</v>
      </c>
      <c r="D27" s="133">
        <v>1143</v>
      </c>
      <c r="Q27" s="135" t="s">
        <v>299</v>
      </c>
      <c r="R27" s="136">
        <v>412</v>
      </c>
      <c r="X27" s="650"/>
      <c r="Y27" s="650"/>
    </row>
    <row r="28" spans="2:25" x14ac:dyDescent="0.3">
      <c r="B28" s="6" t="s">
        <v>309</v>
      </c>
      <c r="C28" s="133">
        <v>4869</v>
      </c>
      <c r="D28" s="133">
        <v>25288</v>
      </c>
      <c r="Q28" s="135" t="s">
        <v>301</v>
      </c>
      <c r="R28" s="136">
        <v>529</v>
      </c>
      <c r="X28" s="650"/>
      <c r="Y28" s="650"/>
    </row>
    <row r="29" spans="2:25" x14ac:dyDescent="0.3">
      <c r="B29" s="6" t="s">
        <v>1137</v>
      </c>
      <c r="C29" s="133">
        <v>235</v>
      </c>
      <c r="D29" s="133">
        <v>915</v>
      </c>
      <c r="Q29" s="135" t="s">
        <v>746</v>
      </c>
      <c r="R29" s="136">
        <v>1143</v>
      </c>
      <c r="X29" s="650"/>
      <c r="Y29" s="650"/>
    </row>
    <row r="30" spans="2:25" x14ac:dyDescent="0.3">
      <c r="B30" s="6" t="s">
        <v>411</v>
      </c>
      <c r="C30" s="133">
        <v>20342</v>
      </c>
      <c r="D30" s="133">
        <v>103236</v>
      </c>
      <c r="Q30" s="135" t="s">
        <v>1137</v>
      </c>
      <c r="R30" s="136">
        <v>915</v>
      </c>
      <c r="X30" s="650"/>
      <c r="Y30" s="650"/>
    </row>
    <row r="31" spans="2:25" x14ac:dyDescent="0.3">
      <c r="B31" s="650"/>
      <c r="C31" s="650"/>
      <c r="D31" s="650"/>
      <c r="Q31" s="135" t="s">
        <v>309</v>
      </c>
      <c r="R31" s="136">
        <v>25288</v>
      </c>
      <c r="X31" s="650"/>
      <c r="Y31" s="650"/>
    </row>
    <row r="32" spans="2:25" x14ac:dyDescent="0.3">
      <c r="B32" s="650"/>
      <c r="C32" s="650"/>
      <c r="D32" s="650"/>
      <c r="Q32" s="180" t="s">
        <v>411</v>
      </c>
      <c r="R32" s="179">
        <v>103236</v>
      </c>
      <c r="X32" s="650"/>
      <c r="Y32" s="650"/>
    </row>
    <row r="33" spans="2:25" x14ac:dyDescent="0.3">
      <c r="B33" s="650"/>
      <c r="C33" s="650"/>
      <c r="D33" s="650"/>
      <c r="Q33"/>
      <c r="R33"/>
      <c r="X33" s="650"/>
      <c r="Y33" s="650"/>
    </row>
    <row r="34" spans="2:25" ht="21" x14ac:dyDescent="0.4">
      <c r="B34" s="408" t="s">
        <v>1435</v>
      </c>
      <c r="C34" s="650"/>
      <c r="D34" s="650"/>
      <c r="Q34" s="650"/>
      <c r="R34" s="650"/>
      <c r="X34" s="650"/>
      <c r="Y34" s="650"/>
    </row>
    <row r="35" spans="2:25" x14ac:dyDescent="0.3">
      <c r="C35" s="650"/>
      <c r="D35" s="650"/>
      <c r="Q35" s="650"/>
      <c r="R35" s="650"/>
      <c r="X35" s="650"/>
      <c r="Y35" s="650"/>
    </row>
    <row r="36" spans="2:25" hidden="1" x14ac:dyDescent="0.3">
      <c r="B36" s="650"/>
      <c r="C36" s="650"/>
      <c r="D36" s="650"/>
      <c r="Q36" s="650"/>
      <c r="R36" s="650"/>
      <c r="X36" s="650"/>
      <c r="Y36" s="650"/>
    </row>
    <row r="37" spans="2:25" hidden="1" x14ac:dyDescent="0.3">
      <c r="Q37" s="650"/>
      <c r="R37" s="650"/>
      <c r="X37" s="650"/>
      <c r="Y37" s="650"/>
    </row>
    <row r="38" spans="2:25" hidden="1" x14ac:dyDescent="0.3">
      <c r="Q38" s="650"/>
      <c r="R38" s="650"/>
      <c r="X38" s="650"/>
      <c r="Y38" s="650"/>
    </row>
    <row r="39" spans="2:25" hidden="1" x14ac:dyDescent="0.3">
      <c r="Q39" s="650"/>
      <c r="R39" s="650"/>
      <c r="X39" s="650"/>
      <c r="Y39" s="650"/>
    </row>
    <row r="40" spans="2:25" hidden="1" x14ac:dyDescent="0.3">
      <c r="Q40" s="650"/>
      <c r="R40" s="650"/>
      <c r="X40" s="650"/>
      <c r="Y40" s="650"/>
    </row>
    <row r="41" spans="2:25" hidden="1" x14ac:dyDescent="0.3">
      <c r="Q41" s="650"/>
      <c r="R41" s="650"/>
      <c r="X41" s="650"/>
      <c r="Y41" s="650"/>
    </row>
    <row r="42" spans="2:25" hidden="1" x14ac:dyDescent="0.3">
      <c r="Q42" s="650"/>
      <c r="R42" s="650"/>
      <c r="X42" s="650"/>
      <c r="Y42" s="650"/>
    </row>
    <row r="43" spans="2:25" x14ac:dyDescent="0.3">
      <c r="B43" s="163" t="s">
        <v>392</v>
      </c>
      <c r="C43" s="158" t="s">
        <v>537</v>
      </c>
      <c r="D43" s="660" t="s">
        <v>413</v>
      </c>
      <c r="Q43" s="650"/>
      <c r="R43" s="650"/>
      <c r="X43" s="650"/>
      <c r="Y43" s="650"/>
    </row>
    <row r="44" spans="2:25" x14ac:dyDescent="0.3">
      <c r="B44" s="163" t="s">
        <v>1036</v>
      </c>
      <c r="C44" s="158" t="s">
        <v>995</v>
      </c>
      <c r="Q44" s="650"/>
      <c r="R44" s="650"/>
      <c r="X44" s="650"/>
      <c r="Y44" s="650"/>
    </row>
    <row r="45" spans="2:25" x14ac:dyDescent="0.3">
      <c r="Q45" s="650"/>
      <c r="R45" s="650"/>
      <c r="X45" s="650"/>
      <c r="Y45" s="650"/>
    </row>
    <row r="46" spans="2:25" x14ac:dyDescent="0.3">
      <c r="B46" s="153" t="s">
        <v>764</v>
      </c>
      <c r="C46" s="141" t="s">
        <v>457</v>
      </c>
      <c r="D46" s="141"/>
      <c r="E46" s="142"/>
      <c r="F46" s="650"/>
      <c r="Q46" s="650"/>
      <c r="R46" s="650"/>
      <c r="X46" s="650"/>
      <c r="Y46" s="650"/>
    </row>
    <row r="47" spans="2:25" x14ac:dyDescent="0.3">
      <c r="B47" s="154" t="s">
        <v>410</v>
      </c>
      <c r="C47" s="140" t="s">
        <v>464</v>
      </c>
      <c r="D47" s="140" t="s">
        <v>466</v>
      </c>
      <c r="E47" s="143" t="s">
        <v>1455</v>
      </c>
      <c r="F47" s="650"/>
      <c r="Q47" s="650"/>
      <c r="R47" s="650"/>
      <c r="X47" s="650"/>
      <c r="Y47" s="650"/>
    </row>
    <row r="48" spans="2:25" x14ac:dyDescent="0.3">
      <c r="B48" s="160" t="s">
        <v>460</v>
      </c>
      <c r="C48" s="161">
        <v>64451</v>
      </c>
      <c r="D48" s="161">
        <v>38785</v>
      </c>
      <c r="E48" s="162">
        <v>103236</v>
      </c>
      <c r="F48" s="650"/>
      <c r="Q48" s="650"/>
      <c r="R48" s="650"/>
      <c r="X48" s="650"/>
      <c r="Y48" s="650"/>
    </row>
    <row r="49" spans="2:25" x14ac:dyDescent="0.3">
      <c r="B49" s="182" t="s">
        <v>1455</v>
      </c>
      <c r="C49" s="183">
        <v>64451</v>
      </c>
      <c r="D49" s="183">
        <v>38785</v>
      </c>
      <c r="E49" s="181">
        <v>103236</v>
      </c>
      <c r="F49" s="650"/>
      <c r="Q49" s="650"/>
      <c r="R49" s="650"/>
      <c r="X49" s="650"/>
      <c r="Y49" s="650"/>
    </row>
    <row r="50" spans="2:25" x14ac:dyDescent="0.3">
      <c r="B50" s="650"/>
      <c r="C50" s="650"/>
      <c r="D50" s="650"/>
      <c r="E50" s="650"/>
      <c r="F50" s="650"/>
      <c r="X50" s="650"/>
      <c r="Y50" s="650"/>
    </row>
    <row r="51" spans="2:25" x14ac:dyDescent="0.3">
      <c r="B51" s="650"/>
      <c r="C51" s="650"/>
      <c r="D51" s="650"/>
      <c r="E51" s="650"/>
      <c r="F51" s="650"/>
      <c r="X51" s="650"/>
      <c r="Y51" s="650"/>
    </row>
    <row r="52" spans="2:25" x14ac:dyDescent="0.3">
      <c r="B52" s="742" t="s">
        <v>1436</v>
      </c>
      <c r="C52" s="742"/>
      <c r="D52" s="742"/>
      <c r="E52" s="742"/>
      <c r="F52" s="650"/>
      <c r="X52" s="650"/>
      <c r="Y52" s="650"/>
    </row>
    <row r="53" spans="2:25" ht="27.75" customHeight="1" x14ac:dyDescent="0.3">
      <c r="B53" s="742"/>
      <c r="C53" s="742"/>
      <c r="D53" s="742"/>
      <c r="E53" s="742"/>
      <c r="F53" s="650"/>
      <c r="X53" s="650"/>
      <c r="Y53" s="650"/>
    </row>
    <row r="54" spans="2:25" x14ac:dyDescent="0.3">
      <c r="B54" s="174" t="s">
        <v>458</v>
      </c>
      <c r="C54" s="174" t="s">
        <v>460</v>
      </c>
      <c r="X54" s="650"/>
      <c r="Y54" s="650"/>
    </row>
    <row r="55" spans="2:25" x14ac:dyDescent="0.3">
      <c r="B55" s="163" t="s">
        <v>1036</v>
      </c>
      <c r="C55" s="158" t="s">
        <v>995</v>
      </c>
    </row>
    <row r="57" spans="2:25" x14ac:dyDescent="0.3">
      <c r="B57" s="153"/>
      <c r="C57" s="141" t="s">
        <v>763</v>
      </c>
      <c r="D57" s="141"/>
      <c r="E57" s="142"/>
      <c r="F57"/>
    </row>
    <row r="58" spans="2:25" x14ac:dyDescent="0.3">
      <c r="B58" s="154"/>
      <c r="C58" s="140" t="s">
        <v>464</v>
      </c>
      <c r="D58" s="140" t="s">
        <v>466</v>
      </c>
      <c r="E58" s="143" t="s">
        <v>1455</v>
      </c>
      <c r="F58"/>
    </row>
    <row r="59" spans="2:25" x14ac:dyDescent="0.3">
      <c r="B59" s="497" t="s">
        <v>764</v>
      </c>
      <c r="C59" s="156">
        <v>64451</v>
      </c>
      <c r="D59" s="156">
        <v>38785</v>
      </c>
      <c r="E59" s="157">
        <v>103236</v>
      </c>
      <c r="F59"/>
    </row>
    <row r="60" spans="2:25" x14ac:dyDescent="0.3">
      <c r="B60" s="650"/>
      <c r="C60" s="650"/>
      <c r="D60" s="650"/>
      <c r="E60" s="650"/>
      <c r="F60" s="650"/>
    </row>
    <row r="61" spans="2:25" x14ac:dyDescent="0.3">
      <c r="B61" s="650"/>
      <c r="C61" s="650"/>
      <c r="D61" s="650"/>
      <c r="E61" s="650"/>
      <c r="F61" s="650"/>
    </row>
    <row r="62" spans="2:25" x14ac:dyDescent="0.3">
      <c r="B62" s="650"/>
      <c r="C62" s="650"/>
      <c r="D62" s="650"/>
      <c r="E62" s="650"/>
      <c r="F62" s="650"/>
    </row>
    <row r="63" spans="2:25" x14ac:dyDescent="0.3">
      <c r="B63" s="650"/>
      <c r="C63" s="650"/>
      <c r="D63" s="650"/>
      <c r="E63" s="650"/>
      <c r="F63" s="650"/>
      <c r="H63" s="311"/>
    </row>
    <row r="65" spans="2:7" x14ac:dyDescent="0.3">
      <c r="B65" s="742" t="s">
        <v>1437</v>
      </c>
      <c r="C65" s="742"/>
      <c r="D65" s="742"/>
      <c r="E65" s="742"/>
    </row>
    <row r="66" spans="2:7" ht="27" customHeight="1" x14ac:dyDescent="0.3">
      <c r="B66" s="742"/>
      <c r="C66" s="742"/>
      <c r="D66" s="742"/>
      <c r="E66" s="742"/>
    </row>
    <row r="67" spans="2:7" x14ac:dyDescent="0.3">
      <c r="B67" s="151" t="s">
        <v>458</v>
      </c>
      <c r="C67" s="152" t="s">
        <v>460</v>
      </c>
    </row>
    <row r="68" spans="2:7" x14ac:dyDescent="0.3">
      <c r="B68" s="151" t="s">
        <v>1036</v>
      </c>
      <c r="C68" s="152" t="s">
        <v>995</v>
      </c>
    </row>
    <row r="70" spans="2:7" x14ac:dyDescent="0.3">
      <c r="B70" s="494"/>
      <c r="C70" s="168" t="s">
        <v>763</v>
      </c>
      <c r="D70" s="145"/>
      <c r="E70" s="146"/>
      <c r="F70"/>
      <c r="G70" s="650"/>
    </row>
    <row r="71" spans="2:7" x14ac:dyDescent="0.3">
      <c r="B71" s="495"/>
      <c r="C71" s="132" t="s">
        <v>464</v>
      </c>
      <c r="D71" s="132" t="s">
        <v>466</v>
      </c>
      <c r="E71" s="144" t="s">
        <v>1456</v>
      </c>
      <c r="F71"/>
      <c r="G71" s="650"/>
    </row>
    <row r="72" spans="2:7" x14ac:dyDescent="0.3">
      <c r="B72" s="496" t="s">
        <v>1562</v>
      </c>
      <c r="C72" s="170">
        <v>150</v>
      </c>
      <c r="D72" s="170">
        <v>19</v>
      </c>
      <c r="E72" s="171">
        <v>169</v>
      </c>
      <c r="F72"/>
      <c r="G72" s="650"/>
    </row>
    <row r="73" spans="2:7" x14ac:dyDescent="0.3">
      <c r="B73" s="650"/>
      <c r="C73" s="650"/>
      <c r="D73" s="650"/>
      <c r="E73" s="650"/>
      <c r="F73" s="650"/>
      <c r="G73" s="650"/>
    </row>
    <row r="74" spans="2:7" x14ac:dyDescent="0.3">
      <c r="B74" s="650"/>
      <c r="C74" s="650"/>
      <c r="D74" s="650"/>
      <c r="E74" s="650"/>
      <c r="F74" s="650"/>
    </row>
    <row r="75" spans="2:7" x14ac:dyDescent="0.3">
      <c r="B75" s="650"/>
      <c r="C75" s="650"/>
      <c r="D75" s="650"/>
      <c r="E75" s="650"/>
      <c r="F75" s="650"/>
    </row>
    <row r="76" spans="2:7" x14ac:dyDescent="0.3">
      <c r="B76" s="650"/>
      <c r="C76" s="650"/>
      <c r="D76" s="650"/>
      <c r="E76" s="650"/>
      <c r="F76" s="650"/>
    </row>
    <row r="79" spans="2:7" x14ac:dyDescent="0.3">
      <c r="B79" s="742" t="s">
        <v>1439</v>
      </c>
      <c r="C79" s="742"/>
      <c r="D79" s="742"/>
      <c r="E79" s="742"/>
    </row>
    <row r="80" spans="2:7" ht="24.75" customHeight="1" x14ac:dyDescent="0.3">
      <c r="B80" s="742"/>
      <c r="C80" s="742"/>
      <c r="D80" s="742"/>
      <c r="E80" s="742"/>
    </row>
    <row r="81" spans="2:5" x14ac:dyDescent="0.3">
      <c r="B81" s="174" t="s">
        <v>458</v>
      </c>
      <c r="C81" s="175" t="s">
        <v>460</v>
      </c>
    </row>
    <row r="82" spans="2:5" x14ac:dyDescent="0.3">
      <c r="B82" s="188" t="s">
        <v>1036</v>
      </c>
      <c r="C82" s="187" t="s">
        <v>995</v>
      </c>
    </row>
    <row r="84" spans="2:5" x14ac:dyDescent="0.3">
      <c r="B84" s="153" t="s">
        <v>1458</v>
      </c>
      <c r="C84" s="141" t="s">
        <v>1456</v>
      </c>
      <c r="D84" s="481" t="s">
        <v>1455</v>
      </c>
      <c r="E84" s="480" t="s">
        <v>1457</v>
      </c>
    </row>
    <row r="85" spans="2:5" x14ac:dyDescent="0.3">
      <c r="B85" s="155" t="s">
        <v>378</v>
      </c>
      <c r="C85" s="159">
        <v>136</v>
      </c>
      <c r="D85" s="159">
        <v>94036</v>
      </c>
      <c r="E85" s="482">
        <v>0.91088380022472781</v>
      </c>
    </row>
    <row r="86" spans="2:5" x14ac:dyDescent="0.3">
      <c r="B86" s="148" t="s">
        <v>464</v>
      </c>
      <c r="C86" s="147">
        <v>118</v>
      </c>
      <c r="D86" s="147">
        <v>55643</v>
      </c>
      <c r="E86" s="164">
        <v>0.53898833740168162</v>
      </c>
    </row>
    <row r="87" spans="2:5" x14ac:dyDescent="0.3">
      <c r="B87" s="148" t="s">
        <v>466</v>
      </c>
      <c r="C87" s="147">
        <v>18</v>
      </c>
      <c r="D87" s="147">
        <v>38393</v>
      </c>
      <c r="E87" s="164">
        <v>0.3718954628230462</v>
      </c>
    </row>
    <row r="88" spans="2:5" x14ac:dyDescent="0.3">
      <c r="B88" s="165" t="s">
        <v>506</v>
      </c>
      <c r="C88" s="147">
        <v>33</v>
      </c>
      <c r="D88" s="147">
        <v>9200</v>
      </c>
      <c r="E88" s="164">
        <v>8.9116199775272187E-2</v>
      </c>
    </row>
    <row r="89" spans="2:5" x14ac:dyDescent="0.3">
      <c r="B89" s="148" t="s">
        <v>464</v>
      </c>
      <c r="C89" s="147">
        <v>32</v>
      </c>
      <c r="D89" s="147">
        <v>8808</v>
      </c>
      <c r="E89" s="164">
        <v>8.5319074741369294E-2</v>
      </c>
    </row>
    <row r="90" spans="2:5" x14ac:dyDescent="0.3">
      <c r="B90" s="148" t="s">
        <v>466</v>
      </c>
      <c r="C90" s="147">
        <v>1</v>
      </c>
      <c r="D90" s="147">
        <v>392</v>
      </c>
      <c r="E90" s="164">
        <v>3.7971250339029019E-3</v>
      </c>
    </row>
    <row r="91" spans="2:5" x14ac:dyDescent="0.3">
      <c r="B91" s="149" t="s">
        <v>411</v>
      </c>
      <c r="C91" s="150">
        <v>169</v>
      </c>
      <c r="D91" s="150">
        <v>103236</v>
      </c>
      <c r="E91" s="166">
        <v>1</v>
      </c>
    </row>
    <row r="92" spans="2:5" x14ac:dyDescent="0.3">
      <c r="B92"/>
      <c r="C92"/>
      <c r="D92"/>
      <c r="E92"/>
    </row>
    <row r="93" spans="2:5" x14ac:dyDescent="0.3">
      <c r="B93" s="650"/>
      <c r="C93" s="650"/>
      <c r="D93" s="650"/>
      <c r="E93" s="650"/>
    </row>
    <row r="94" spans="2:5" x14ac:dyDescent="0.3">
      <c r="B94" s="650"/>
      <c r="C94" s="650"/>
      <c r="D94" s="650"/>
      <c r="E94" s="650"/>
    </row>
    <row r="95" spans="2:5" x14ac:dyDescent="0.3">
      <c r="B95" s="650"/>
      <c r="C95" s="650"/>
      <c r="D95" s="650"/>
      <c r="E95" s="650"/>
    </row>
    <row r="96" spans="2:5" x14ac:dyDescent="0.3">
      <c r="B96" s="650"/>
      <c r="C96" s="650"/>
      <c r="D96" s="650"/>
      <c r="E96" s="650"/>
    </row>
    <row r="97" spans="2:5" x14ac:dyDescent="0.3">
      <c r="B97" s="650"/>
      <c r="C97" s="650"/>
      <c r="D97" s="650"/>
      <c r="E97" s="650"/>
    </row>
    <row r="98" spans="2:5" x14ac:dyDescent="0.3">
      <c r="B98" s="650"/>
      <c r="C98" s="650"/>
      <c r="D98" s="650"/>
      <c r="E98" s="650"/>
    </row>
    <row r="99" spans="2:5" x14ac:dyDescent="0.3">
      <c r="B99" s="650"/>
      <c r="C99" s="650"/>
      <c r="D99" s="650"/>
      <c r="E99" s="650"/>
    </row>
    <row r="100" spans="2:5" x14ac:dyDescent="0.3">
      <c r="B100" s="650"/>
      <c r="C100" s="650"/>
      <c r="D100" s="650"/>
      <c r="E100" s="650"/>
    </row>
    <row r="101" spans="2:5" x14ac:dyDescent="0.3">
      <c r="B101" s="650"/>
      <c r="C101" s="650"/>
      <c r="D101" s="650"/>
      <c r="E101" s="650"/>
    </row>
    <row r="102" spans="2:5" x14ac:dyDescent="0.3">
      <c r="B102" s="650"/>
      <c r="C102" s="650"/>
      <c r="D102" s="650"/>
      <c r="E102" s="650"/>
    </row>
    <row r="103" spans="2:5" x14ac:dyDescent="0.3">
      <c r="B103" s="650"/>
      <c r="C103" s="650"/>
      <c r="D103" s="650"/>
      <c r="E103" s="650"/>
    </row>
    <row r="104" spans="2:5" x14ac:dyDescent="0.3">
      <c r="B104" s="650"/>
      <c r="C104" s="650"/>
      <c r="D104" s="650"/>
      <c r="E104" s="650"/>
    </row>
    <row r="105" spans="2:5" x14ac:dyDescent="0.3">
      <c r="B105" s="650"/>
      <c r="C105" s="650"/>
      <c r="D105" s="650"/>
      <c r="E105" s="650"/>
    </row>
    <row r="106" spans="2:5" x14ac:dyDescent="0.3">
      <c r="B106" s="650"/>
      <c r="C106" s="650"/>
      <c r="D106" s="650"/>
      <c r="E106" s="650"/>
    </row>
    <row r="107" spans="2:5" x14ac:dyDescent="0.3">
      <c r="B107" s="650"/>
      <c r="C107" s="650"/>
      <c r="D107" s="650"/>
      <c r="E107" s="650"/>
    </row>
    <row r="108" spans="2:5" x14ac:dyDescent="0.3">
      <c r="B108" s="650"/>
      <c r="C108" s="650"/>
      <c r="D108" s="650"/>
      <c r="E108" s="650"/>
    </row>
    <row r="109" spans="2:5" x14ac:dyDescent="0.3">
      <c r="B109" s="650"/>
      <c r="C109" s="650"/>
      <c r="D109" s="650"/>
      <c r="E109" s="650"/>
    </row>
    <row r="110" spans="2:5" x14ac:dyDescent="0.3">
      <c r="B110" s="650"/>
      <c r="C110" s="650"/>
      <c r="D110" s="650"/>
      <c r="E110" s="650"/>
    </row>
    <row r="111" spans="2:5" x14ac:dyDescent="0.3">
      <c r="B111" s="650"/>
      <c r="C111" s="650"/>
      <c r="D111" s="650"/>
      <c r="E111" s="650"/>
    </row>
    <row r="112" spans="2:5" x14ac:dyDescent="0.3">
      <c r="B112" s="650"/>
      <c r="C112" s="650"/>
      <c r="D112" s="650"/>
      <c r="E112" s="650"/>
    </row>
    <row r="113" spans="2:5" x14ac:dyDescent="0.3">
      <c r="B113" s="650"/>
      <c r="C113" s="650"/>
      <c r="D113" s="650"/>
      <c r="E113" s="650"/>
    </row>
    <row r="114" spans="2:5" x14ac:dyDescent="0.3">
      <c r="B114" s="650"/>
      <c r="C114" s="650"/>
      <c r="D114" s="650"/>
      <c r="E114" s="650"/>
    </row>
    <row r="115" spans="2:5" x14ac:dyDescent="0.3">
      <c r="B115" s="650"/>
      <c r="C115" s="650"/>
      <c r="D115" s="650"/>
      <c r="E115" s="650"/>
    </row>
    <row r="116" spans="2:5" x14ac:dyDescent="0.3">
      <c r="B116" s="650"/>
      <c r="C116" s="650"/>
      <c r="D116" s="650"/>
      <c r="E116" s="650"/>
    </row>
    <row r="117" spans="2:5" x14ac:dyDescent="0.3">
      <c r="B117" s="650"/>
      <c r="C117" s="650"/>
      <c r="D117" s="650"/>
      <c r="E117" s="650"/>
    </row>
    <row r="118" spans="2:5" x14ac:dyDescent="0.3">
      <c r="B118" s="650"/>
      <c r="C118" s="650"/>
      <c r="D118" s="650"/>
      <c r="E118" s="650"/>
    </row>
    <row r="119" spans="2:5" x14ac:dyDescent="0.3">
      <c r="B119" s="650"/>
      <c r="C119" s="650"/>
      <c r="D119" s="650"/>
      <c r="E119" s="650"/>
    </row>
    <row r="120" spans="2:5" x14ac:dyDescent="0.3">
      <c r="B120" s="650"/>
      <c r="C120" s="650"/>
      <c r="D120" s="650"/>
      <c r="E120" s="650"/>
    </row>
    <row r="121" spans="2:5" x14ac:dyDescent="0.3">
      <c r="B121" s="650"/>
      <c r="C121" s="650"/>
      <c r="D121" s="650"/>
      <c r="E121" s="650"/>
    </row>
    <row r="122" spans="2:5" x14ac:dyDescent="0.3">
      <c r="B122" s="650"/>
      <c r="C122" s="650"/>
      <c r="D122" s="650"/>
      <c r="E122" s="650"/>
    </row>
    <row r="123" spans="2:5" x14ac:dyDescent="0.3">
      <c r="B123" s="650"/>
      <c r="C123" s="650"/>
      <c r="D123" s="650"/>
      <c r="E123" s="650"/>
    </row>
    <row r="124" spans="2:5" x14ac:dyDescent="0.3">
      <c r="B124" s="650"/>
      <c r="C124" s="650"/>
      <c r="D124" s="650"/>
      <c r="E124" s="650"/>
    </row>
    <row r="125" spans="2:5" x14ac:dyDescent="0.3">
      <c r="B125" s="650"/>
      <c r="C125" s="650"/>
      <c r="D125" s="650"/>
      <c r="E125" s="650"/>
    </row>
    <row r="126" spans="2:5" x14ac:dyDescent="0.3">
      <c r="B126" s="650"/>
      <c r="C126" s="650"/>
      <c r="D126" s="650"/>
      <c r="E126" s="650"/>
    </row>
    <row r="127" spans="2:5" x14ac:dyDescent="0.3">
      <c r="B127" s="650"/>
      <c r="C127" s="650"/>
      <c r="D127" s="650"/>
      <c r="E127" s="650"/>
    </row>
    <row r="128" spans="2:5" x14ac:dyDescent="0.3">
      <c r="B128" s="650"/>
      <c r="C128" s="650"/>
      <c r="D128" s="650"/>
      <c r="E128" s="650"/>
    </row>
    <row r="129" spans="2:5" x14ac:dyDescent="0.3">
      <c r="B129" s="650"/>
      <c r="C129" s="650"/>
      <c r="D129" s="650"/>
      <c r="E129" s="650"/>
    </row>
    <row r="130" spans="2:5" x14ac:dyDescent="0.3">
      <c r="B130" s="650"/>
      <c r="C130" s="650"/>
      <c r="D130" s="650"/>
      <c r="E130" s="650"/>
    </row>
    <row r="131" spans="2:5" x14ac:dyDescent="0.3">
      <c r="B131" s="650"/>
      <c r="C131" s="650"/>
      <c r="D131" s="650"/>
      <c r="E131" s="650"/>
    </row>
    <row r="132" spans="2:5" x14ac:dyDescent="0.3">
      <c r="B132" s="650"/>
      <c r="C132" s="650"/>
      <c r="D132" s="650"/>
      <c r="E132" s="650"/>
    </row>
    <row r="133" spans="2:5" x14ac:dyDescent="0.3">
      <c r="B133" s="650"/>
      <c r="C133" s="650"/>
      <c r="D133" s="650"/>
      <c r="E133" s="650"/>
    </row>
    <row r="134" spans="2:5" x14ac:dyDescent="0.3">
      <c r="B134" s="650"/>
      <c r="C134" s="650"/>
      <c r="D134" s="650"/>
      <c r="E134" s="650"/>
    </row>
    <row r="135" spans="2:5" x14ac:dyDescent="0.3">
      <c r="B135" s="650"/>
      <c r="C135" s="650"/>
      <c r="D135" s="650"/>
      <c r="E135" s="650"/>
    </row>
    <row r="136" spans="2:5" x14ac:dyDescent="0.3">
      <c r="B136" s="650"/>
      <c r="C136" s="650"/>
      <c r="D136" s="650"/>
      <c r="E136" s="650"/>
    </row>
    <row r="137" spans="2:5" x14ac:dyDescent="0.3">
      <c r="B137" s="650"/>
      <c r="C137" s="650"/>
      <c r="D137" s="650"/>
      <c r="E137" s="650"/>
    </row>
    <row r="138" spans="2:5" x14ac:dyDescent="0.3">
      <c r="B138" s="650"/>
      <c r="C138" s="650"/>
      <c r="D138" s="650"/>
      <c r="E138" s="650"/>
    </row>
    <row r="139" spans="2:5" x14ac:dyDescent="0.3">
      <c r="B139" s="650"/>
      <c r="C139" s="650"/>
      <c r="D139" s="650"/>
      <c r="E139" s="650"/>
    </row>
    <row r="140" spans="2:5" x14ac:dyDescent="0.3">
      <c r="B140" s="650"/>
      <c r="C140" s="650"/>
      <c r="D140" s="650"/>
      <c r="E140" s="650"/>
    </row>
    <row r="141" spans="2:5" x14ac:dyDescent="0.3">
      <c r="B141" s="650"/>
      <c r="C141" s="650"/>
      <c r="D141" s="650"/>
      <c r="E141" s="650"/>
    </row>
    <row r="142" spans="2:5" x14ac:dyDescent="0.3">
      <c r="B142" s="650"/>
      <c r="C142" s="650"/>
      <c r="D142" s="650"/>
      <c r="E142" s="650"/>
    </row>
    <row r="143" spans="2:5" x14ac:dyDescent="0.3">
      <c r="B143" s="650"/>
      <c r="C143" s="650"/>
      <c r="D143" s="650"/>
      <c r="E143" s="650"/>
    </row>
    <row r="144" spans="2:5" x14ac:dyDescent="0.3">
      <c r="B144" s="650"/>
      <c r="C144" s="650"/>
      <c r="D144" s="650"/>
      <c r="E144" s="650"/>
    </row>
    <row r="145" spans="2:5" x14ac:dyDescent="0.3">
      <c r="B145" s="650"/>
      <c r="C145" s="650"/>
      <c r="D145" s="650"/>
      <c r="E145" s="650"/>
    </row>
    <row r="146" spans="2:5" x14ac:dyDescent="0.3">
      <c r="B146" s="650"/>
      <c r="C146" s="650"/>
      <c r="D146" s="650"/>
      <c r="E146" s="650"/>
    </row>
    <row r="147" spans="2:5" x14ac:dyDescent="0.3">
      <c r="B147" s="650"/>
      <c r="C147" s="650"/>
      <c r="D147" s="650"/>
      <c r="E147" s="650"/>
    </row>
    <row r="148" spans="2:5" x14ac:dyDescent="0.3">
      <c r="B148" s="650"/>
      <c r="C148" s="650"/>
      <c r="D148" s="650"/>
      <c r="E148" s="650"/>
    </row>
    <row r="149" spans="2:5" x14ac:dyDescent="0.3">
      <c r="B149" s="650"/>
      <c r="C149" s="650"/>
      <c r="D149" s="650"/>
      <c r="E149" s="650"/>
    </row>
    <row r="150" spans="2:5" x14ac:dyDescent="0.3">
      <c r="B150" s="650"/>
      <c r="C150" s="650"/>
      <c r="D150" s="650"/>
      <c r="E150" s="650"/>
    </row>
    <row r="151" spans="2:5" x14ac:dyDescent="0.3">
      <c r="B151" s="650"/>
      <c r="C151" s="650"/>
      <c r="D151" s="650"/>
      <c r="E151" s="650"/>
    </row>
    <row r="152" spans="2:5" x14ac:dyDescent="0.3">
      <c r="B152" s="650"/>
      <c r="C152" s="650"/>
      <c r="D152" s="650"/>
      <c r="E152" s="650"/>
    </row>
    <row r="153" spans="2:5" x14ac:dyDescent="0.3">
      <c r="B153" s="650"/>
      <c r="C153" s="650"/>
      <c r="D153" s="650"/>
      <c r="E153" s="650"/>
    </row>
    <row r="154" spans="2:5" x14ac:dyDescent="0.3">
      <c r="B154" s="650"/>
      <c r="C154" s="650"/>
      <c r="D154" s="650"/>
      <c r="E154" s="650"/>
    </row>
    <row r="155" spans="2:5" x14ac:dyDescent="0.3">
      <c r="B155" s="650"/>
      <c r="C155" s="650"/>
      <c r="D155" s="650"/>
      <c r="E155" s="650"/>
    </row>
    <row r="156" spans="2:5" x14ac:dyDescent="0.3">
      <c r="B156" s="650"/>
      <c r="C156" s="650"/>
      <c r="D156" s="650"/>
      <c r="E156" s="650"/>
    </row>
    <row r="157" spans="2:5" x14ac:dyDescent="0.3">
      <c r="B157" s="650"/>
      <c r="C157" s="650"/>
      <c r="D157" s="650"/>
      <c r="E157" s="650"/>
    </row>
    <row r="158" spans="2:5" x14ac:dyDescent="0.3">
      <c r="B158" s="650"/>
      <c r="C158" s="650"/>
      <c r="D158" s="650"/>
      <c r="E158" s="650"/>
    </row>
    <row r="159" spans="2:5" x14ac:dyDescent="0.3">
      <c r="B159" s="650"/>
      <c r="C159" s="650"/>
      <c r="D159" s="650"/>
      <c r="E159" s="650"/>
    </row>
    <row r="160" spans="2:5" x14ac:dyDescent="0.3">
      <c r="B160" s="650"/>
      <c r="C160" s="650"/>
      <c r="D160" s="650"/>
      <c r="E160" s="650"/>
    </row>
    <row r="161" spans="2:5" x14ac:dyDescent="0.3">
      <c r="B161" s="650"/>
      <c r="C161" s="650"/>
      <c r="D161" s="650"/>
      <c r="E161" s="650"/>
    </row>
    <row r="162" spans="2:5" x14ac:dyDescent="0.3">
      <c r="B162" s="650"/>
      <c r="C162" s="650"/>
      <c r="D162" s="650"/>
      <c r="E162" s="650"/>
    </row>
    <row r="163" spans="2:5" x14ac:dyDescent="0.3">
      <c r="B163" s="650"/>
      <c r="C163" s="650"/>
      <c r="D163" s="650"/>
      <c r="E163" s="650"/>
    </row>
    <row r="164" spans="2:5" x14ac:dyDescent="0.3">
      <c r="B164" s="650"/>
      <c r="C164" s="650"/>
      <c r="D164" s="650"/>
      <c r="E164" s="650"/>
    </row>
    <row r="165" spans="2:5" x14ac:dyDescent="0.3">
      <c r="B165" s="650"/>
      <c r="C165" s="650"/>
      <c r="D165" s="650"/>
      <c r="E165" s="650"/>
    </row>
    <row r="166" spans="2:5" x14ac:dyDescent="0.3">
      <c r="B166" s="650"/>
      <c r="C166" s="650"/>
      <c r="D166" s="650"/>
      <c r="E166" s="650"/>
    </row>
    <row r="167" spans="2:5" x14ac:dyDescent="0.3">
      <c r="B167" s="650"/>
      <c r="C167" s="650"/>
      <c r="D167" s="650"/>
      <c r="E167" s="650"/>
    </row>
    <row r="168" spans="2:5" x14ac:dyDescent="0.3">
      <c r="B168" s="650"/>
      <c r="C168" s="650"/>
      <c r="D168" s="650"/>
      <c r="E168" s="650"/>
    </row>
    <row r="169" spans="2:5" x14ac:dyDescent="0.3">
      <c r="B169" s="650"/>
      <c r="C169" s="650"/>
      <c r="D169" s="650"/>
      <c r="E169" s="650"/>
    </row>
    <row r="170" spans="2:5" x14ac:dyDescent="0.3">
      <c r="B170" s="650"/>
      <c r="C170" s="650"/>
      <c r="D170" s="650"/>
      <c r="E170" s="650"/>
    </row>
    <row r="171" spans="2:5" x14ac:dyDescent="0.3">
      <c r="B171" s="650"/>
      <c r="C171" s="650"/>
      <c r="D171" s="650"/>
      <c r="E171" s="650"/>
    </row>
    <row r="172" spans="2:5" x14ac:dyDescent="0.3">
      <c r="B172" s="650"/>
      <c r="C172" s="650"/>
      <c r="D172" s="650"/>
      <c r="E172" s="650"/>
    </row>
    <row r="173" spans="2:5" x14ac:dyDescent="0.3">
      <c r="B173" s="650"/>
      <c r="C173" s="650"/>
      <c r="D173" s="650"/>
      <c r="E173" s="650"/>
    </row>
    <row r="174" spans="2:5" x14ac:dyDescent="0.3">
      <c r="B174" s="650"/>
      <c r="C174" s="650"/>
      <c r="D174" s="650"/>
      <c r="E174" s="650"/>
    </row>
    <row r="175" spans="2:5" x14ac:dyDescent="0.3">
      <c r="B175" s="650"/>
      <c r="C175" s="650"/>
      <c r="D175" s="650"/>
      <c r="E175" s="650"/>
    </row>
    <row r="176" spans="2:5" x14ac:dyDescent="0.3">
      <c r="B176" s="650"/>
      <c r="C176" s="650"/>
      <c r="D176" s="650"/>
      <c r="E176" s="650"/>
    </row>
    <row r="177" spans="2:5" x14ac:dyDescent="0.3">
      <c r="B177" s="650"/>
      <c r="C177" s="650"/>
      <c r="D177" s="650"/>
      <c r="E177" s="650"/>
    </row>
    <row r="178" spans="2:5" x14ac:dyDescent="0.3">
      <c r="B178" s="650"/>
      <c r="C178" s="650"/>
      <c r="D178" s="650"/>
      <c r="E178" s="650"/>
    </row>
    <row r="179" spans="2:5" x14ac:dyDescent="0.3">
      <c r="B179" s="650"/>
      <c r="C179" s="650"/>
      <c r="D179" s="650"/>
      <c r="E179" s="650"/>
    </row>
    <row r="180" spans="2:5" x14ac:dyDescent="0.3">
      <c r="B180" s="650"/>
      <c r="C180" s="650"/>
      <c r="D180" s="650"/>
      <c r="E180" s="650"/>
    </row>
    <row r="181" spans="2:5" x14ac:dyDescent="0.3">
      <c r="B181" s="650"/>
      <c r="C181" s="650"/>
      <c r="D181" s="650"/>
      <c r="E181" s="650"/>
    </row>
    <row r="182" spans="2:5" x14ac:dyDescent="0.3">
      <c r="B182" s="650"/>
      <c r="C182" s="650"/>
      <c r="D182" s="650"/>
      <c r="E182" s="650"/>
    </row>
    <row r="183" spans="2:5" x14ac:dyDescent="0.3">
      <c r="B183" s="650"/>
      <c r="C183" s="650"/>
      <c r="D183" s="650"/>
      <c r="E183" s="650"/>
    </row>
    <row r="184" spans="2:5" x14ac:dyDescent="0.3">
      <c r="B184" s="650"/>
      <c r="C184" s="650"/>
      <c r="D184" s="650"/>
      <c r="E184" s="650"/>
    </row>
    <row r="185" spans="2:5" x14ac:dyDescent="0.3">
      <c r="B185" s="650"/>
      <c r="C185" s="650"/>
      <c r="D185" s="650"/>
      <c r="E185" s="650"/>
    </row>
    <row r="186" spans="2:5" x14ac:dyDescent="0.3">
      <c r="B186" s="650"/>
      <c r="C186" s="650"/>
      <c r="D186" s="650"/>
      <c r="E186" s="650"/>
    </row>
    <row r="187" spans="2:5" x14ac:dyDescent="0.3">
      <c r="B187" s="650"/>
      <c r="C187" s="650"/>
      <c r="D187" s="650"/>
      <c r="E187" s="650"/>
    </row>
    <row r="188" spans="2:5" x14ac:dyDescent="0.3">
      <c r="B188" s="650"/>
      <c r="C188" s="650"/>
      <c r="D188" s="650"/>
      <c r="E188" s="650"/>
    </row>
    <row r="189" spans="2:5" x14ac:dyDescent="0.3">
      <c r="B189" s="650"/>
      <c r="C189" s="650"/>
      <c r="D189" s="650"/>
      <c r="E189" s="650"/>
    </row>
    <row r="190" spans="2:5" x14ac:dyDescent="0.3">
      <c r="B190" s="650"/>
      <c r="C190" s="650"/>
      <c r="D190" s="650"/>
      <c r="E190" s="650"/>
    </row>
    <row r="191" spans="2:5" x14ac:dyDescent="0.3">
      <c r="B191" s="650"/>
      <c r="C191" s="650"/>
      <c r="D191" s="650"/>
      <c r="E191" s="650"/>
    </row>
    <row r="192" spans="2:5" x14ac:dyDescent="0.3">
      <c r="B192" s="650"/>
      <c r="C192" s="650"/>
      <c r="D192" s="650"/>
      <c r="E192" s="650"/>
    </row>
    <row r="193" spans="2:5" x14ac:dyDescent="0.3">
      <c r="B193" s="650"/>
      <c r="C193" s="650"/>
      <c r="D193" s="650"/>
      <c r="E193" s="650"/>
    </row>
    <row r="194" spans="2:5" x14ac:dyDescent="0.3">
      <c r="B194" s="650"/>
      <c r="C194" s="650"/>
      <c r="D194" s="650"/>
      <c r="E194" s="650"/>
    </row>
    <row r="195" spans="2:5" x14ac:dyDescent="0.3">
      <c r="B195" s="650"/>
      <c r="C195" s="650"/>
      <c r="D195" s="650"/>
      <c r="E195" s="650"/>
    </row>
    <row r="196" spans="2:5" x14ac:dyDescent="0.3">
      <c r="B196" s="650"/>
      <c r="C196" s="650"/>
      <c r="D196" s="650"/>
      <c r="E196" s="650"/>
    </row>
    <row r="197" spans="2:5" x14ac:dyDescent="0.3">
      <c r="B197" s="650"/>
      <c r="C197" s="650"/>
      <c r="D197" s="650"/>
      <c r="E197" s="650"/>
    </row>
    <row r="198" spans="2:5" x14ac:dyDescent="0.3">
      <c r="B198" s="650"/>
      <c r="C198" s="650"/>
      <c r="D198" s="650"/>
      <c r="E198" s="650"/>
    </row>
    <row r="199" spans="2:5" x14ac:dyDescent="0.3">
      <c r="B199" s="650"/>
      <c r="C199" s="650"/>
      <c r="D199" s="650"/>
      <c r="E199" s="650"/>
    </row>
    <row r="200" spans="2:5" x14ac:dyDescent="0.3">
      <c r="B200" s="650"/>
      <c r="C200" s="650"/>
      <c r="D200" s="650"/>
      <c r="E200" s="650"/>
    </row>
    <row r="201" spans="2:5" x14ac:dyDescent="0.3">
      <c r="B201" s="650"/>
      <c r="C201" s="650"/>
      <c r="D201" s="650"/>
      <c r="E201" s="650"/>
    </row>
    <row r="202" spans="2:5" x14ac:dyDescent="0.3">
      <c r="B202" s="650"/>
      <c r="C202" s="650"/>
      <c r="D202" s="650"/>
      <c r="E202" s="650"/>
    </row>
    <row r="203" spans="2:5" x14ac:dyDescent="0.3">
      <c r="B203" s="650"/>
      <c r="C203" s="650"/>
      <c r="D203" s="650"/>
      <c r="E203" s="650"/>
    </row>
    <row r="204" spans="2:5" x14ac:dyDescent="0.3">
      <c r="B204" s="650"/>
      <c r="C204" s="650"/>
      <c r="D204" s="650"/>
      <c r="E204" s="650"/>
    </row>
    <row r="205" spans="2:5" x14ac:dyDescent="0.3">
      <c r="B205" s="650"/>
      <c r="C205" s="650"/>
      <c r="D205" s="650"/>
      <c r="E205" s="650"/>
    </row>
    <row r="206" spans="2:5" x14ac:dyDescent="0.3">
      <c r="B206" s="650"/>
      <c r="C206" s="650"/>
      <c r="D206" s="650"/>
      <c r="E206" s="650"/>
    </row>
    <row r="207" spans="2:5" x14ac:dyDescent="0.3">
      <c r="B207" s="650"/>
      <c r="C207" s="650"/>
      <c r="D207" s="650"/>
      <c r="E207" s="650"/>
    </row>
    <row r="208" spans="2:5" x14ac:dyDescent="0.3">
      <c r="B208" s="650"/>
      <c r="C208" s="650"/>
      <c r="D208" s="650"/>
      <c r="E208" s="650"/>
    </row>
    <row r="209" spans="2:5" x14ac:dyDescent="0.3">
      <c r="B209" s="650"/>
      <c r="C209" s="650"/>
      <c r="D209" s="650"/>
      <c r="E209" s="650"/>
    </row>
    <row r="210" spans="2:5" x14ac:dyDescent="0.3">
      <c r="B210" s="650"/>
      <c r="C210" s="650"/>
      <c r="D210" s="650"/>
      <c r="E210" s="650"/>
    </row>
    <row r="211" spans="2:5" x14ac:dyDescent="0.3">
      <c r="B211" s="650"/>
      <c r="C211" s="650"/>
      <c r="D211" s="650"/>
      <c r="E211" s="650"/>
    </row>
    <row r="212" spans="2:5" x14ac:dyDescent="0.3">
      <c r="B212" s="650"/>
      <c r="C212" s="650"/>
      <c r="D212" s="650"/>
      <c r="E212" s="650"/>
    </row>
    <row r="213" spans="2:5" x14ac:dyDescent="0.3">
      <c r="B213" s="650"/>
      <c r="C213" s="650"/>
      <c r="D213" s="650"/>
      <c r="E213" s="650"/>
    </row>
    <row r="214" spans="2:5" x14ac:dyDescent="0.3">
      <c r="B214" s="650"/>
      <c r="C214" s="650"/>
      <c r="D214" s="650"/>
      <c r="E214" s="650"/>
    </row>
    <row r="215" spans="2:5" x14ac:dyDescent="0.3">
      <c r="B215" s="650"/>
      <c r="C215" s="650"/>
      <c r="D215" s="650"/>
      <c r="E215" s="650"/>
    </row>
    <row r="216" spans="2:5" x14ac:dyDescent="0.3">
      <c r="B216" s="650"/>
      <c r="C216" s="650"/>
      <c r="D216" s="650"/>
      <c r="E216" s="650"/>
    </row>
    <row r="217" spans="2:5" x14ac:dyDescent="0.3">
      <c r="B217" s="650"/>
      <c r="C217" s="650"/>
      <c r="D217" s="650"/>
      <c r="E217" s="650"/>
    </row>
    <row r="218" spans="2:5" x14ac:dyDescent="0.3">
      <c r="B218" s="650"/>
      <c r="C218" s="650"/>
      <c r="D218" s="650"/>
      <c r="E218" s="650"/>
    </row>
    <row r="219" spans="2:5" x14ac:dyDescent="0.3">
      <c r="B219" s="650"/>
      <c r="C219" s="650"/>
      <c r="D219" s="650"/>
      <c r="E219" s="650"/>
    </row>
    <row r="220" spans="2:5" x14ac:dyDescent="0.3">
      <c r="B220" s="650"/>
      <c r="C220" s="650"/>
      <c r="D220" s="650"/>
      <c r="E220" s="650"/>
    </row>
    <row r="221" spans="2:5" x14ac:dyDescent="0.3">
      <c r="B221" s="650"/>
      <c r="C221" s="650"/>
      <c r="D221" s="650"/>
      <c r="E221" s="650"/>
    </row>
    <row r="222" spans="2:5" x14ac:dyDescent="0.3">
      <c r="B222" s="650"/>
      <c r="C222" s="650"/>
      <c r="D222" s="650"/>
      <c r="E222" s="650"/>
    </row>
    <row r="223" spans="2:5" x14ac:dyDescent="0.3">
      <c r="B223" s="650"/>
      <c r="C223" s="650"/>
      <c r="D223" s="650"/>
      <c r="E223" s="650"/>
    </row>
    <row r="224" spans="2:5" x14ac:dyDescent="0.3">
      <c r="B224" s="650"/>
      <c r="C224" s="650"/>
      <c r="D224" s="650"/>
      <c r="E224" s="650"/>
    </row>
    <row r="225" spans="2:5" x14ac:dyDescent="0.3">
      <c r="B225" s="650"/>
      <c r="C225" s="650"/>
      <c r="D225" s="650"/>
      <c r="E225" s="650"/>
    </row>
    <row r="226" spans="2:5" x14ac:dyDescent="0.3">
      <c r="B226" s="650"/>
      <c r="C226" s="650"/>
      <c r="D226" s="650"/>
      <c r="E226" s="650"/>
    </row>
    <row r="227" spans="2:5" x14ac:dyDescent="0.3">
      <c r="B227" s="650"/>
      <c r="C227" s="650"/>
      <c r="D227" s="650"/>
      <c r="E227" s="650"/>
    </row>
    <row r="228" spans="2:5" x14ac:dyDescent="0.3">
      <c r="B228" s="650"/>
      <c r="C228" s="650"/>
      <c r="D228" s="650"/>
      <c r="E228" s="650"/>
    </row>
    <row r="229" spans="2:5" x14ac:dyDescent="0.3">
      <c r="B229" s="650"/>
      <c r="C229" s="650"/>
      <c r="D229" s="650"/>
      <c r="E229" s="650"/>
    </row>
    <row r="230" spans="2:5" x14ac:dyDescent="0.3">
      <c r="B230" s="650"/>
      <c r="C230" s="650"/>
      <c r="D230" s="650"/>
      <c r="E230" s="650"/>
    </row>
    <row r="231" spans="2:5" x14ac:dyDescent="0.3">
      <c r="B231" s="650"/>
      <c r="C231" s="650"/>
      <c r="D231" s="650"/>
      <c r="E231" s="650"/>
    </row>
    <row r="232" spans="2:5" x14ac:dyDescent="0.3">
      <c r="B232" s="650"/>
      <c r="C232" s="650"/>
      <c r="D232" s="650"/>
      <c r="E232" s="650"/>
    </row>
    <row r="233" spans="2:5" x14ac:dyDescent="0.3">
      <c r="B233" s="650"/>
      <c r="C233" s="650"/>
      <c r="D233" s="650"/>
      <c r="E233" s="650"/>
    </row>
    <row r="234" spans="2:5" x14ac:dyDescent="0.3">
      <c r="B234" s="650"/>
      <c r="C234" s="650"/>
      <c r="D234" s="650"/>
      <c r="E234" s="650"/>
    </row>
    <row r="235" spans="2:5" x14ac:dyDescent="0.3">
      <c r="B235" s="650"/>
      <c r="C235" s="650"/>
      <c r="D235" s="650"/>
      <c r="E235" s="650"/>
    </row>
    <row r="236" spans="2:5" x14ac:dyDescent="0.3">
      <c r="B236" s="650"/>
      <c r="C236" s="650"/>
      <c r="D236" s="650"/>
      <c r="E236" s="650"/>
    </row>
    <row r="237" spans="2:5" x14ac:dyDescent="0.3">
      <c r="B237" s="650"/>
      <c r="C237" s="650"/>
      <c r="D237" s="650"/>
      <c r="E237" s="650"/>
    </row>
    <row r="238" spans="2:5" x14ac:dyDescent="0.3">
      <c r="B238" s="650"/>
      <c r="C238" s="650"/>
      <c r="D238" s="650"/>
      <c r="E238" s="650"/>
    </row>
    <row r="239" spans="2:5" x14ac:dyDescent="0.3">
      <c r="B239" s="650"/>
      <c r="C239" s="650"/>
      <c r="D239" s="650"/>
      <c r="E239" s="650"/>
    </row>
    <row r="240" spans="2:5" x14ac:dyDescent="0.3">
      <c r="B240" s="650"/>
      <c r="C240" s="650"/>
      <c r="D240" s="650"/>
      <c r="E240" s="650"/>
    </row>
    <row r="241" spans="2:5" x14ac:dyDescent="0.3">
      <c r="B241" s="650"/>
      <c r="C241" s="650"/>
      <c r="D241" s="650"/>
      <c r="E241" s="650"/>
    </row>
    <row r="242" spans="2:5" x14ac:dyDescent="0.3">
      <c r="B242" s="650"/>
      <c r="C242" s="650"/>
      <c r="D242" s="650"/>
      <c r="E242" s="650"/>
    </row>
    <row r="243" spans="2:5" x14ac:dyDescent="0.3">
      <c r="B243" s="650"/>
      <c r="C243" s="650"/>
      <c r="D243" s="650"/>
      <c r="E243" s="650"/>
    </row>
    <row r="244" spans="2:5" x14ac:dyDescent="0.3">
      <c r="B244" s="650"/>
      <c r="C244" s="650"/>
      <c r="D244" s="650"/>
      <c r="E244" s="650"/>
    </row>
    <row r="245" spans="2:5" x14ac:dyDescent="0.3">
      <c r="B245" s="650"/>
      <c r="C245" s="650"/>
      <c r="D245" s="650"/>
      <c r="E245" s="650"/>
    </row>
    <row r="246" spans="2:5" x14ac:dyDescent="0.3">
      <c r="B246" s="650"/>
      <c r="C246" s="650"/>
      <c r="D246" s="650"/>
      <c r="E246" s="650"/>
    </row>
    <row r="247" spans="2:5" x14ac:dyDescent="0.3">
      <c r="B247" s="650"/>
      <c r="C247" s="650"/>
      <c r="D247" s="650"/>
      <c r="E247" s="650"/>
    </row>
    <row r="248" spans="2:5" x14ac:dyDescent="0.3">
      <c r="B248" s="650"/>
      <c r="C248" s="650"/>
      <c r="D248" s="650"/>
      <c r="E248" s="650"/>
    </row>
    <row r="249" spans="2:5" x14ac:dyDescent="0.3">
      <c r="B249" s="650"/>
      <c r="C249" s="650"/>
      <c r="D249" s="650"/>
      <c r="E249" s="650"/>
    </row>
    <row r="250" spans="2:5" x14ac:dyDescent="0.3">
      <c r="B250" s="650"/>
      <c r="C250" s="650"/>
      <c r="D250" s="650"/>
      <c r="E250" s="650"/>
    </row>
    <row r="251" spans="2:5" x14ac:dyDescent="0.3">
      <c r="B251" s="650"/>
      <c r="C251" s="650"/>
      <c r="D251" s="650"/>
      <c r="E251" s="650"/>
    </row>
    <row r="252" spans="2:5" x14ac:dyDescent="0.3">
      <c r="B252" s="650"/>
      <c r="C252" s="650"/>
      <c r="D252" s="650"/>
      <c r="E252" s="650"/>
    </row>
    <row r="253" spans="2:5" x14ac:dyDescent="0.3">
      <c r="B253" s="650"/>
      <c r="C253" s="650"/>
      <c r="D253" s="650"/>
      <c r="E253" s="650"/>
    </row>
    <row r="254" spans="2:5" x14ac:dyDescent="0.3">
      <c r="B254" s="650"/>
      <c r="C254" s="650"/>
      <c r="D254" s="650"/>
      <c r="E254" s="650"/>
    </row>
    <row r="255" spans="2:5" x14ac:dyDescent="0.3">
      <c r="B255" s="650"/>
      <c r="C255" s="650"/>
      <c r="D255" s="650"/>
      <c r="E255" s="650"/>
    </row>
    <row r="256" spans="2:5" x14ac:dyDescent="0.3">
      <c r="B256" s="650"/>
      <c r="C256" s="650"/>
      <c r="D256" s="650"/>
      <c r="E256" s="650"/>
    </row>
    <row r="257" spans="2:5" x14ac:dyDescent="0.3">
      <c r="B257" s="650"/>
      <c r="C257" s="650"/>
      <c r="D257" s="650"/>
      <c r="E257" s="650"/>
    </row>
    <row r="258" spans="2:5" x14ac:dyDescent="0.3">
      <c r="B258" s="650"/>
      <c r="C258" s="650"/>
      <c r="D258" s="650"/>
      <c r="E258" s="650"/>
    </row>
    <row r="259" spans="2:5" x14ac:dyDescent="0.3">
      <c r="B259" s="650"/>
      <c r="C259" s="650"/>
      <c r="D259" s="650"/>
      <c r="E259" s="650"/>
    </row>
    <row r="260" spans="2:5" x14ac:dyDescent="0.3">
      <c r="B260" s="650"/>
      <c r="C260" s="650"/>
      <c r="D260" s="650"/>
      <c r="E260" s="650"/>
    </row>
    <row r="261" spans="2:5" x14ac:dyDescent="0.3">
      <c r="B261" s="650"/>
      <c r="C261" s="650"/>
      <c r="D261" s="650"/>
      <c r="E261" s="650"/>
    </row>
    <row r="262" spans="2:5" x14ac:dyDescent="0.3">
      <c r="B262" s="650"/>
      <c r="C262" s="650"/>
      <c r="D262" s="650"/>
      <c r="E262" s="650"/>
    </row>
    <row r="263" spans="2:5" x14ac:dyDescent="0.3">
      <c r="B263" s="650"/>
      <c r="C263" s="650"/>
      <c r="D263" s="650"/>
      <c r="E263" s="650"/>
    </row>
    <row r="264" spans="2:5" x14ac:dyDescent="0.3">
      <c r="B264" s="650"/>
      <c r="C264" s="650"/>
      <c r="D264" s="650"/>
      <c r="E264" s="650"/>
    </row>
    <row r="265" spans="2:5" x14ac:dyDescent="0.3">
      <c r="B265" s="650"/>
      <c r="C265" s="650"/>
      <c r="D265" s="650"/>
      <c r="E265" s="650"/>
    </row>
    <row r="266" spans="2:5" x14ac:dyDescent="0.3">
      <c r="B266" s="650"/>
      <c r="C266" s="650"/>
      <c r="D266" s="650"/>
      <c r="E266" s="650"/>
    </row>
    <row r="267" spans="2:5" x14ac:dyDescent="0.3">
      <c r="B267" s="650"/>
      <c r="C267" s="650"/>
      <c r="D267" s="650"/>
      <c r="E267" s="650"/>
    </row>
    <row r="268" spans="2:5" x14ac:dyDescent="0.3">
      <c r="B268" s="650"/>
      <c r="C268" s="650"/>
      <c r="D268" s="650"/>
      <c r="E268" s="650"/>
    </row>
  </sheetData>
  <mergeCells count="12">
    <mergeCell ref="B3:D3"/>
    <mergeCell ref="B79:E80"/>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236220</xdr:rowOff>
                  </from>
                  <to>
                    <xdr:col>20</xdr:col>
                    <xdr:colOff>236220</xdr:colOff>
                    <xdr:row>3</xdr:row>
                    <xdr:rowOff>441960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opLeftCell="A7" zoomScale="90" zoomScaleNormal="90" zoomScaleSheetLayoutView="100" workbookViewId="0">
      <selection activeCell="F45" sqref="F45:F48"/>
    </sheetView>
  </sheetViews>
  <sheetFormatPr defaultColWidth="9.109375" defaultRowHeight="14.4" x14ac:dyDescent="0.3"/>
  <cols>
    <col min="1" max="1" width="1.109375" style="195" customWidth="1"/>
    <col min="2" max="2" width="21.109375" style="195" customWidth="1"/>
    <col min="3" max="3" width="10" style="195" customWidth="1"/>
    <col min="4" max="4" width="9.88671875" style="195" customWidth="1"/>
    <col min="5" max="5" width="9.6640625" style="195" customWidth="1"/>
    <col min="6" max="6" width="10.88671875" style="195" customWidth="1"/>
    <col min="7" max="7" width="11.109375" style="195" customWidth="1"/>
    <col min="8" max="8" width="11.5546875" style="195" customWidth="1"/>
    <col min="9" max="9" width="9" style="195" customWidth="1"/>
    <col min="10" max="10" width="8.33203125" style="195" customWidth="1"/>
    <col min="11" max="11" width="7.6640625" style="195" customWidth="1"/>
    <col min="12" max="12" width="9.6640625" style="195" customWidth="1"/>
    <col min="13" max="13" width="5.109375" style="195" customWidth="1"/>
    <col min="14" max="15" width="9.6640625" style="195" customWidth="1"/>
    <col min="16" max="16" width="9" style="195" customWidth="1"/>
    <col min="17" max="17" width="0.6640625" style="195" customWidth="1"/>
    <col min="18" max="18" width="26.44140625" style="195" customWidth="1"/>
    <col min="19" max="19" width="1" style="195" customWidth="1"/>
    <col min="20" max="20" width="2.88671875" style="195" customWidth="1"/>
    <col min="21" max="21" width="7.109375" style="287" customWidth="1"/>
    <col min="22" max="22" width="16.6640625" style="287" customWidth="1"/>
    <col min="23" max="25" width="7.109375" style="411" customWidth="1"/>
    <col min="26" max="26" width="13" style="411" customWidth="1"/>
    <col min="27" max="27" width="12" style="411" customWidth="1"/>
    <col min="28" max="28" width="14.109375" style="411" customWidth="1"/>
    <col min="29" max="33" width="7.109375" style="411" customWidth="1"/>
    <col min="34" max="34" width="3.88671875" style="412" customWidth="1"/>
    <col min="35" max="35" width="14.5546875" style="412" bestFit="1" customWidth="1"/>
    <col min="36" max="36" width="31.44140625" style="412" bestFit="1" customWidth="1"/>
    <col min="37" max="39" width="8" style="412" bestFit="1" customWidth="1"/>
    <col min="40" max="40" width="9.6640625" style="412" bestFit="1" customWidth="1"/>
    <col min="41" max="46" width="9.109375" style="412"/>
    <col min="47" max="51" width="9.109375" style="411"/>
    <col min="52" max="53" width="9.109375" style="287"/>
    <col min="54" max="16384" width="9.109375" style="195"/>
  </cols>
  <sheetData>
    <row r="1" spans="1:53" ht="4.5" customHeight="1" thickBot="1" x14ac:dyDescent="0.35"/>
    <row r="2" spans="1:53" ht="6" customHeight="1" x14ac:dyDescent="0.3">
      <c r="A2" s="413"/>
      <c r="B2" s="414"/>
      <c r="C2" s="414"/>
      <c r="D2" s="414"/>
      <c r="E2" s="414"/>
      <c r="F2" s="414"/>
      <c r="G2" s="414"/>
      <c r="H2" s="414"/>
      <c r="I2" s="414"/>
      <c r="J2" s="414"/>
      <c r="K2" s="414"/>
      <c r="L2" s="414"/>
      <c r="M2" s="414"/>
      <c r="N2" s="414"/>
      <c r="O2" s="414"/>
      <c r="P2" s="414"/>
      <c r="Q2" s="414"/>
      <c r="R2" s="414"/>
      <c r="S2" s="415"/>
    </row>
    <row r="3" spans="1:53" s="191" customFormat="1" ht="4.5" customHeight="1" x14ac:dyDescent="0.3">
      <c r="A3" s="416"/>
      <c r="B3" s="420"/>
      <c r="C3" s="420"/>
      <c r="D3" s="420"/>
      <c r="E3" s="420"/>
      <c r="F3" s="420"/>
      <c r="G3" s="420"/>
      <c r="H3" s="420"/>
      <c r="I3" s="420"/>
      <c r="J3" s="420"/>
      <c r="K3" s="420"/>
      <c r="L3" s="420"/>
      <c r="M3" s="420"/>
      <c r="N3" s="420"/>
      <c r="O3" s="420"/>
      <c r="P3" s="420"/>
      <c r="Q3" s="417"/>
      <c r="R3" s="417"/>
      <c r="S3" s="418"/>
      <c r="U3" s="288"/>
      <c r="V3" s="288"/>
      <c r="W3" s="419"/>
      <c r="X3" s="419"/>
      <c r="Y3" s="419"/>
      <c r="Z3" s="419"/>
      <c r="AA3" s="419"/>
      <c r="AB3" s="419"/>
      <c r="AC3" s="419"/>
      <c r="AD3" s="419"/>
      <c r="AE3" s="419"/>
      <c r="AF3" s="419"/>
      <c r="AG3" s="419"/>
      <c r="AH3" s="412"/>
      <c r="AI3" s="412"/>
      <c r="AJ3" s="412"/>
      <c r="AK3" s="412"/>
      <c r="AL3" s="412"/>
      <c r="AM3" s="412"/>
      <c r="AN3" s="412"/>
      <c r="AO3" s="412"/>
      <c r="AP3" s="412"/>
      <c r="AQ3" s="412"/>
      <c r="AR3" s="412"/>
      <c r="AS3" s="412"/>
      <c r="AT3" s="412"/>
      <c r="AU3" s="419"/>
      <c r="AV3" s="419"/>
      <c r="AW3" s="419"/>
      <c r="AX3" s="419"/>
      <c r="AY3" s="419"/>
      <c r="AZ3" s="288"/>
      <c r="BA3" s="288"/>
    </row>
    <row r="4" spans="1:53" s="191" customFormat="1" ht="26.25" customHeight="1" x14ac:dyDescent="0.3">
      <c r="A4" s="416"/>
      <c r="B4" s="744" t="s">
        <v>1421</v>
      </c>
      <c r="C4" s="744"/>
      <c r="D4" s="744"/>
      <c r="E4" s="744"/>
      <c r="F4" s="744"/>
      <c r="G4" s="744"/>
      <c r="H4" s="744"/>
      <c r="I4" s="744"/>
      <c r="J4" s="85"/>
      <c r="K4" s="85"/>
      <c r="L4" s="85"/>
      <c r="M4" s="85"/>
      <c r="N4" s="85"/>
      <c r="O4" s="85"/>
      <c r="P4" s="85"/>
      <c r="Q4" s="417"/>
      <c r="R4" s="417"/>
      <c r="S4" s="418"/>
      <c r="U4" s="288"/>
      <c r="V4" s="287"/>
      <c r="W4" s="411"/>
      <c r="X4" s="411"/>
      <c r="Y4" s="411"/>
      <c r="Z4" s="411"/>
      <c r="AA4" s="411"/>
      <c r="AB4" s="411"/>
      <c r="AC4" s="411"/>
      <c r="AD4" s="411"/>
      <c r="AE4" s="411"/>
      <c r="AF4" s="411"/>
      <c r="AG4" s="411"/>
      <c r="AH4" s="412"/>
      <c r="AI4" s="412"/>
      <c r="AJ4" s="412"/>
      <c r="AK4" s="412"/>
      <c r="AL4" s="412"/>
      <c r="AM4" s="412"/>
      <c r="AN4" s="412"/>
      <c r="AO4" s="412"/>
      <c r="AP4" s="412"/>
      <c r="AQ4" s="412"/>
      <c r="AR4" s="412"/>
      <c r="AS4" s="412"/>
      <c r="AT4" s="412"/>
      <c r="AU4" s="419"/>
      <c r="AV4" s="419"/>
      <c r="AW4" s="419"/>
      <c r="AX4" s="419"/>
      <c r="AY4" s="419"/>
      <c r="AZ4" s="288"/>
      <c r="BA4" s="288"/>
    </row>
    <row r="5" spans="1:53" s="324" customFormat="1" ht="23.25" customHeight="1" x14ac:dyDescent="0.3">
      <c r="A5" s="416"/>
      <c r="B5" s="745">
        <f>Definition!B23</f>
        <v>43191</v>
      </c>
      <c r="C5" s="745"/>
      <c r="D5" s="745"/>
      <c r="E5" s="745"/>
      <c r="F5" s="745"/>
      <c r="G5" s="745"/>
      <c r="H5" s="745"/>
      <c r="I5" s="745"/>
      <c r="J5" s="85"/>
      <c r="K5" s="85"/>
      <c r="L5" s="85"/>
      <c r="M5" s="85"/>
      <c r="N5" s="85"/>
      <c r="O5" s="85"/>
      <c r="P5" s="85"/>
      <c r="Q5" s="417"/>
      <c r="R5" s="417"/>
      <c r="S5" s="418"/>
      <c r="U5" s="197"/>
      <c r="V5" s="197"/>
      <c r="W5" s="411"/>
      <c r="X5" s="411"/>
      <c r="Y5" s="411"/>
      <c r="Z5" s="411"/>
      <c r="AA5" s="411"/>
      <c r="AB5" s="411"/>
      <c r="AC5" s="411"/>
      <c r="AD5" s="411"/>
      <c r="AE5" s="411"/>
      <c r="AF5" s="411"/>
      <c r="AG5" s="411"/>
      <c r="AH5" s="412"/>
      <c r="AI5" s="412"/>
      <c r="AJ5" s="412"/>
      <c r="AK5" s="412"/>
      <c r="AL5" s="412"/>
      <c r="AM5" s="412"/>
      <c r="AN5" s="412"/>
      <c r="AO5" s="412"/>
      <c r="AP5" s="412"/>
      <c r="AQ5" s="412"/>
      <c r="AR5" s="412"/>
      <c r="AS5" s="412"/>
      <c r="AT5" s="412"/>
      <c r="AU5" s="412"/>
      <c r="AV5" s="412"/>
      <c r="AW5" s="412"/>
      <c r="AX5" s="412"/>
      <c r="AY5" s="412"/>
      <c r="AZ5" s="197"/>
      <c r="BA5" s="197"/>
    </row>
    <row r="6" spans="1:53" ht="12" customHeight="1" x14ac:dyDescent="0.3">
      <c r="A6" s="421"/>
      <c r="B6" s="422"/>
      <c r="C6" s="422"/>
      <c r="D6" s="422"/>
      <c r="E6" s="422"/>
      <c r="F6" s="422"/>
      <c r="G6" s="422"/>
      <c r="H6" s="422"/>
      <c r="I6" s="422"/>
      <c r="J6" s="422"/>
      <c r="K6" s="422"/>
      <c r="L6" s="422"/>
      <c r="M6" s="204"/>
      <c r="N6" s="204"/>
      <c r="O6" s="204"/>
      <c r="P6" s="204"/>
      <c r="Q6" s="204"/>
      <c r="R6" s="204"/>
      <c r="S6" s="423"/>
      <c r="T6" s="424"/>
      <c r="U6" s="424"/>
      <c r="V6" s="424"/>
      <c r="W6" s="425"/>
      <c r="X6" s="425"/>
      <c r="Y6" s="425"/>
      <c r="Z6" s="425"/>
      <c r="AA6" s="425"/>
      <c r="AB6" s="425"/>
      <c r="AC6" s="425"/>
      <c r="AD6" s="425"/>
      <c r="AE6" s="425"/>
      <c r="AF6" s="425"/>
      <c r="AI6" s="412" t="s">
        <v>0</v>
      </c>
      <c r="AJ6" s="412" t="s">
        <v>1422</v>
      </c>
      <c r="AK6" s="412" t="s">
        <v>1423</v>
      </c>
      <c r="AL6" s="412" t="s">
        <v>1424</v>
      </c>
      <c r="AM6" s="412" t="s">
        <v>1425</v>
      </c>
    </row>
    <row r="7" spans="1:53" ht="12" customHeight="1" x14ac:dyDescent="0.3">
      <c r="A7" s="421"/>
      <c r="B7" s="422"/>
      <c r="C7" s="422"/>
      <c r="D7" s="422"/>
      <c r="E7" s="422"/>
      <c r="F7" s="422"/>
      <c r="G7" s="422"/>
      <c r="H7" s="422"/>
      <c r="I7" s="422"/>
      <c r="J7" s="422"/>
      <c r="K7" s="422"/>
      <c r="L7" s="422"/>
      <c r="M7" s="204"/>
      <c r="N7" s="204"/>
      <c r="O7" s="204"/>
      <c r="P7" s="204"/>
      <c r="Q7" s="204"/>
      <c r="R7" s="204"/>
      <c r="S7" s="426"/>
      <c r="AI7" s="412" t="s">
        <v>5</v>
      </c>
      <c r="AJ7" s="427" t="e">
        <v>#REF!</v>
      </c>
      <c r="AK7" s="427" t="e">
        <v>#REF!</v>
      </c>
      <c r="AL7" s="427" t="e">
        <v>#REF!</v>
      </c>
      <c r="AM7" s="427" t="e">
        <v>#REF!</v>
      </c>
    </row>
    <row r="8" spans="1:53" ht="12" customHeight="1" x14ac:dyDescent="0.3">
      <c r="A8" s="421"/>
      <c r="B8" s="422"/>
      <c r="C8" s="422"/>
      <c r="D8" s="422"/>
      <c r="E8" s="422"/>
      <c r="F8" s="422"/>
      <c r="G8" s="422"/>
      <c r="H8" s="422"/>
      <c r="I8" s="422"/>
      <c r="J8" s="422"/>
      <c r="K8" s="422"/>
      <c r="L8" s="422"/>
      <c r="M8" s="204"/>
      <c r="N8" s="204"/>
      <c r="O8" s="204"/>
      <c r="P8" s="204"/>
      <c r="Q8" s="204"/>
      <c r="R8" s="204"/>
      <c r="S8" s="426"/>
      <c r="AI8" s="412" t="s">
        <v>27</v>
      </c>
      <c r="AJ8" s="427" t="e">
        <v>#REF!</v>
      </c>
      <c r="AK8" s="427" t="e">
        <v>#REF!</v>
      </c>
      <c r="AL8" s="427" t="e">
        <v>#REF!</v>
      </c>
      <c r="AM8" s="427" t="e">
        <v>#REF!</v>
      </c>
    </row>
    <row r="9" spans="1:53" ht="12" customHeight="1" x14ac:dyDescent="0.3">
      <c r="A9" s="421"/>
      <c r="B9" s="422"/>
      <c r="C9" s="422"/>
      <c r="D9" s="422"/>
      <c r="E9" s="422"/>
      <c r="F9" s="422"/>
      <c r="G9" s="422"/>
      <c r="H9" s="422"/>
      <c r="I9" s="422"/>
      <c r="J9" s="422"/>
      <c r="K9" s="422"/>
      <c r="L9" s="422"/>
      <c r="M9" s="204"/>
      <c r="N9" s="204"/>
      <c r="O9" s="204"/>
      <c r="P9" s="204"/>
      <c r="Q9" s="204"/>
      <c r="R9" s="204"/>
      <c r="S9" s="426"/>
      <c r="AJ9" s="427" t="e">
        <v>#REF!</v>
      </c>
      <c r="AK9" s="427" t="e">
        <v>#REF!</v>
      </c>
      <c r="AL9" s="427" t="e">
        <v>#REF!</v>
      </c>
      <c r="AM9" s="427" t="e">
        <v>#REF!</v>
      </c>
    </row>
    <row r="10" spans="1:53" ht="12" customHeight="1" x14ac:dyDescent="0.3">
      <c r="A10" s="421"/>
      <c r="B10" s="422"/>
      <c r="C10" s="422"/>
      <c r="D10" s="422"/>
      <c r="E10" s="422"/>
      <c r="F10" s="422"/>
      <c r="G10" s="422"/>
      <c r="H10" s="422"/>
      <c r="I10" s="422"/>
      <c r="J10" s="422"/>
      <c r="K10" s="422"/>
      <c r="L10" s="422"/>
      <c r="M10" s="204"/>
      <c r="N10" s="204"/>
      <c r="O10" s="204"/>
      <c r="P10" s="204"/>
      <c r="Q10" s="204"/>
      <c r="R10" s="204"/>
      <c r="S10" s="426"/>
      <c r="AJ10" s="427" t="e">
        <v>#REF!</v>
      </c>
      <c r="AK10" s="427" t="e">
        <v>#REF!</v>
      </c>
      <c r="AL10" s="427" t="e">
        <v>#REF!</v>
      </c>
      <c r="AM10" s="427" t="e">
        <v>#REF!</v>
      </c>
    </row>
    <row r="11" spans="1:53" ht="8.25" customHeight="1" x14ac:dyDescent="0.3">
      <c r="A11" s="421"/>
      <c r="B11" s="422"/>
      <c r="C11" s="422"/>
      <c r="D11" s="422"/>
      <c r="E11" s="422"/>
      <c r="F11" s="422"/>
      <c r="G11" s="422"/>
      <c r="H11" s="422"/>
      <c r="I11" s="422"/>
      <c r="J11" s="422"/>
      <c r="K11" s="422"/>
      <c r="L11" s="422"/>
      <c r="M11" s="204"/>
      <c r="N11" s="204"/>
      <c r="O11" s="204"/>
      <c r="P11" s="204"/>
      <c r="Q11" s="204"/>
      <c r="R11" s="204"/>
      <c r="S11" s="426"/>
      <c r="AI11" s="412" t="s">
        <v>480</v>
      </c>
      <c r="AJ11" s="427" t="e">
        <v>#REF!</v>
      </c>
      <c r="AK11" s="427" t="e">
        <v>#REF!</v>
      </c>
      <c r="AL11" s="427" t="e">
        <v>#REF!</v>
      </c>
      <c r="AM11" s="427" t="e">
        <v>#REF!</v>
      </c>
    </row>
    <row r="12" spans="1:53" ht="8.25" customHeight="1" x14ac:dyDescent="0.3">
      <c r="A12" s="421"/>
      <c r="B12" s="422"/>
      <c r="C12" s="422"/>
      <c r="D12" s="422"/>
      <c r="E12" s="422"/>
      <c r="F12" s="422"/>
      <c r="G12" s="422"/>
      <c r="H12" s="422"/>
      <c r="I12" s="422"/>
      <c r="J12" s="422"/>
      <c r="K12" s="422"/>
      <c r="L12" s="422"/>
      <c r="M12" s="204"/>
      <c r="N12" s="204"/>
      <c r="O12" s="204"/>
      <c r="P12" s="204"/>
      <c r="Q12" s="204"/>
      <c r="R12" s="204"/>
      <c r="S12" s="426"/>
      <c r="AI12" s="412" t="s">
        <v>719</v>
      </c>
      <c r="AJ12" s="427" t="e">
        <v>#REF!</v>
      </c>
      <c r="AK12" s="427" t="e">
        <v>#REF!</v>
      </c>
      <c r="AL12" s="427" t="e">
        <v>#REF!</v>
      </c>
      <c r="AM12" s="427" t="e">
        <v>#REF!</v>
      </c>
    </row>
    <row r="13" spans="1:53" ht="18.75" customHeight="1" x14ac:dyDescent="0.3">
      <c r="A13" s="421"/>
      <c r="B13" s="276" t="s">
        <v>1150</v>
      </c>
      <c r="C13" s="277" t="s">
        <v>1426</v>
      </c>
      <c r="D13" s="277" t="s">
        <v>1427</v>
      </c>
      <c r="E13" s="277" t="s">
        <v>1029</v>
      </c>
      <c r="F13" s="422"/>
      <c r="G13" s="422"/>
      <c r="H13" s="422"/>
      <c r="I13" s="422"/>
      <c r="J13" s="422"/>
      <c r="K13" s="422"/>
      <c r="L13" s="422"/>
      <c r="M13" s="204"/>
      <c r="N13" s="204"/>
      <c r="O13" s="204"/>
      <c r="P13" s="204"/>
      <c r="Q13" s="204"/>
      <c r="R13" s="204"/>
      <c r="S13" s="426"/>
      <c r="AJ13" s="427" t="e">
        <v>#REF!</v>
      </c>
      <c r="AK13" s="427" t="e">
        <v>#REF!</v>
      </c>
      <c r="AL13" s="427" t="e">
        <v>#REF!</v>
      </c>
      <c r="AM13" s="427" t="e">
        <v>#REF!</v>
      </c>
    </row>
    <row r="14" spans="1:53" ht="18.75" customHeight="1" x14ac:dyDescent="0.3">
      <c r="A14" s="421"/>
      <c r="B14" s="278" t="s">
        <v>378</v>
      </c>
      <c r="C14" s="279"/>
      <c r="D14" s="279"/>
      <c r="E14" s="279"/>
      <c r="F14" s="204"/>
      <c r="G14" s="204"/>
      <c r="H14" s="204"/>
      <c r="I14" s="204"/>
      <c r="J14" s="204"/>
      <c r="K14" s="204"/>
      <c r="L14" s="204"/>
      <c r="M14" s="204"/>
      <c r="N14" s="204"/>
      <c r="O14" s="204"/>
      <c r="P14" s="204"/>
      <c r="Q14" s="428"/>
      <c r="R14" s="204"/>
      <c r="S14" s="426"/>
      <c r="AI14" s="429" t="s">
        <v>361</v>
      </c>
      <c r="AJ14" s="427" t="e">
        <v>#REF!</v>
      </c>
      <c r="AK14" s="427" t="e">
        <v>#REF!</v>
      </c>
      <c r="AL14" s="427" t="e">
        <v>#REF!</v>
      </c>
      <c r="AM14" s="427" t="e">
        <v>#REF!</v>
      </c>
    </row>
    <row r="15" spans="1:53" ht="12.9" customHeight="1" x14ac:dyDescent="0.3">
      <c r="A15" s="421"/>
      <c r="B15" s="280" t="s">
        <v>5</v>
      </c>
      <c r="C15" s="430">
        <f>SUMIFS(CampList[HH],CampList[Township],$B15,CampList[Status],"open",CampList[Affected Population],"IDP", CampList[State],"Kachin")</f>
        <v>1480</v>
      </c>
      <c r="D15" s="430">
        <f>SUMIFS(CampList[Total],CampList[Township],$B15,CampList[Status],"open",CampList[Affected Population],"IDP", CampList[State],"Kachin")</f>
        <v>8307</v>
      </c>
      <c r="E15" s="281">
        <f>COUNTIFS(CampList[Township],$B15,CampList[Status],"open",CampList[Affected Population],"IDP",CampList[State],"Kachin")</f>
        <v>11</v>
      </c>
      <c r="F15" s="204"/>
      <c r="G15" s="431"/>
      <c r="H15" s="204"/>
      <c r="I15" s="204"/>
      <c r="J15" s="204"/>
      <c r="K15" s="204"/>
      <c r="L15" s="204"/>
      <c r="M15" s="204"/>
      <c r="N15" s="204"/>
      <c r="O15" s="204"/>
      <c r="P15" s="204"/>
      <c r="Q15" s="428"/>
      <c r="R15" s="204"/>
      <c r="S15" s="426"/>
      <c r="AI15" s="412" t="s">
        <v>144</v>
      </c>
      <c r="AJ15" s="427" t="e">
        <v>#REF!</v>
      </c>
      <c r="AK15" s="427" t="e">
        <v>#REF!</v>
      </c>
      <c r="AL15" s="427" t="e">
        <v>#REF!</v>
      </c>
      <c r="AM15" s="427" t="e">
        <v>#REF!</v>
      </c>
    </row>
    <row r="16" spans="1:53" ht="12.9" customHeight="1" x14ac:dyDescent="0.3">
      <c r="A16" s="421"/>
      <c r="B16" s="280" t="s">
        <v>27</v>
      </c>
      <c r="C16" s="430">
        <f>SUMIFS(CampList[HH],CampList[Township],$B16,CampList[Status],"open",CampList[Affected Population],"IDP", CampList[State],"Kachin")</f>
        <v>497</v>
      </c>
      <c r="D16" s="430">
        <f>SUMIFS(CampList[Total],CampList[Township],$B16,CampList[Status],"open",CampList[Affected Population],"IDP", CampList[State],"Kachin")</f>
        <v>2471</v>
      </c>
      <c r="E16" s="281">
        <f>COUNTIFS(CampList[Township],$B16,CampList[Status],"open",CampList[Affected Population],"IDP",CampList[State],"Kachin")</f>
        <v>5</v>
      </c>
      <c r="F16" s="204"/>
      <c r="G16" s="431"/>
      <c r="H16" s="204"/>
      <c r="I16" s="204"/>
      <c r="J16" s="204"/>
      <c r="K16" s="204"/>
      <c r="L16" s="204"/>
      <c r="M16" s="204"/>
      <c r="N16" s="204"/>
      <c r="O16" s="204"/>
      <c r="P16" s="204"/>
      <c r="Q16" s="204"/>
      <c r="R16" s="204"/>
      <c r="S16" s="426"/>
      <c r="AI16" s="412" t="s">
        <v>146</v>
      </c>
      <c r="AJ16" s="427" t="e">
        <v>#REF!</v>
      </c>
      <c r="AK16" s="427" t="e">
        <v>#REF!</v>
      </c>
      <c r="AL16" s="427" t="e">
        <v>#REF!</v>
      </c>
      <c r="AM16" s="427" t="e">
        <v>#REF!</v>
      </c>
    </row>
    <row r="17" spans="1:42" ht="12.9" customHeight="1" x14ac:dyDescent="0.3">
      <c r="A17" s="421"/>
      <c r="B17" s="280" t="s">
        <v>480</v>
      </c>
      <c r="C17" s="430">
        <f>SUMIFS(CampList[HH],CampList[Township],$B17,CampList[Status],"open",CampList[Affected Population],"IDP", CampList[State],"Kachin")</f>
        <v>706</v>
      </c>
      <c r="D17" s="430">
        <f>SUMIFS(CampList[Total],CampList[Township],$B17,CampList[Status],"open",CampList[Affected Population],"IDP", CampList[State],"Kachin")</f>
        <v>3587</v>
      </c>
      <c r="E17" s="281">
        <f>COUNTIFS(CampList[Township],$B17,CampList[Status],"open",CampList[Affected Population],"IDP",CampList[State],"Kachin")</f>
        <v>21</v>
      </c>
      <c r="F17" s="204"/>
      <c r="G17" s="431"/>
      <c r="H17" s="204"/>
      <c r="I17" s="204"/>
      <c r="J17" s="204"/>
      <c r="K17" s="204"/>
      <c r="L17" s="204"/>
      <c r="M17" s="204"/>
      <c r="N17" s="204"/>
      <c r="O17" s="204"/>
      <c r="P17" s="204"/>
      <c r="Q17" s="204"/>
      <c r="R17" s="204"/>
      <c r="S17" s="426"/>
      <c r="AI17" s="412" t="s">
        <v>817</v>
      </c>
      <c r="AJ17" s="427" t="e">
        <v>#REF!</v>
      </c>
      <c r="AK17" s="427" t="e">
        <v>#REF!</v>
      </c>
      <c r="AL17" s="427" t="e">
        <v>#REF!</v>
      </c>
      <c r="AM17" s="427" t="e">
        <v>#REF!</v>
      </c>
    </row>
    <row r="18" spans="1:42" ht="12.9" customHeight="1" x14ac:dyDescent="0.3">
      <c r="A18" s="421"/>
      <c r="B18" s="280" t="s">
        <v>361</v>
      </c>
      <c r="C18" s="430">
        <f>SUMIFS(CampList[HH],CampList[Township],$B18,CampList[Status],"open",CampList[Affected Population],"IDP", CampList[State],"Kachin")</f>
        <v>0</v>
      </c>
      <c r="D18" s="430">
        <f>SUMIFS(CampList[Total],CampList[Township],$B18,CampList[Status],"open",CampList[Affected Population],"IDP", CampList[State],"Kachin")</f>
        <v>0</v>
      </c>
      <c r="E18" s="281">
        <f>COUNTIFS(CampList[Township],$B18,CampList[Status],"open",CampList[Affected Population],"IDP",CampList[State],"Kachin")</f>
        <v>0</v>
      </c>
      <c r="F18" s="204"/>
      <c r="G18" s="204"/>
      <c r="H18" s="204"/>
      <c r="I18" s="204"/>
      <c r="J18" s="204"/>
      <c r="K18" s="204"/>
      <c r="L18" s="204"/>
      <c r="M18" s="204"/>
      <c r="N18" s="204"/>
      <c r="O18" s="204"/>
      <c r="P18" s="204"/>
      <c r="Q18" s="204"/>
      <c r="R18" s="204"/>
      <c r="S18" s="426"/>
      <c r="AI18" s="412" t="s">
        <v>151</v>
      </c>
      <c r="AJ18" s="427" t="e">
        <v>#REF!</v>
      </c>
      <c r="AK18" s="427" t="e">
        <v>#REF!</v>
      </c>
      <c r="AL18" s="427" t="e">
        <v>#REF!</v>
      </c>
      <c r="AM18" s="427" t="e">
        <v>#REF!</v>
      </c>
      <c r="AP18" s="193"/>
    </row>
    <row r="19" spans="1:42" ht="12.9" customHeight="1" x14ac:dyDescent="0.3">
      <c r="A19" s="421"/>
      <c r="B19" s="280" t="s">
        <v>144</v>
      </c>
      <c r="C19" s="430">
        <f>SUMIFS(CampList[HH],CampList[Township],$B19,CampList[Status],"open",CampList[Affected Population],"IDP", CampList[State],"Kachin")</f>
        <v>0</v>
      </c>
      <c r="D19" s="430">
        <f>SUMIFS(CampList[Total],CampList[Township],$B19,CampList[Status],"open",CampList[Affected Population],"IDP", CampList[State],"Kachin")</f>
        <v>0</v>
      </c>
      <c r="E19" s="281">
        <f>COUNTIFS(CampList[Township],$B19,CampList[Status],"open",CampList[Affected Population],"IDP",CampList[State],"Kachin")</f>
        <v>0</v>
      </c>
      <c r="F19" s="204"/>
      <c r="G19" s="204"/>
      <c r="H19" s="204"/>
      <c r="I19" s="204"/>
      <c r="J19" s="204"/>
      <c r="K19" s="204"/>
      <c r="L19" s="204"/>
      <c r="M19" s="204"/>
      <c r="N19" s="204"/>
      <c r="O19" s="204"/>
      <c r="P19" s="204"/>
      <c r="Q19" s="204"/>
      <c r="R19" s="204"/>
      <c r="S19" s="426"/>
      <c r="T19" s="195">
        <f>V25</f>
        <v>0</v>
      </c>
      <c r="AI19" s="412" t="s">
        <v>166</v>
      </c>
      <c r="AJ19" s="427" t="e">
        <v>#REF!</v>
      </c>
      <c r="AK19" s="427" t="e">
        <v>#REF!</v>
      </c>
      <c r="AL19" s="427" t="e">
        <v>#REF!</v>
      </c>
      <c r="AM19" s="427" t="e">
        <v>#REF!</v>
      </c>
      <c r="AP19" s="193"/>
    </row>
    <row r="20" spans="1:42" ht="12.9" customHeight="1" x14ac:dyDescent="0.3">
      <c r="A20" s="421"/>
      <c r="B20" s="280" t="s">
        <v>817</v>
      </c>
      <c r="C20" s="430">
        <f>SUMIFS(CampList[HH],CampList[Township],$B20,CampList[Status],"open",CampList[Affected Population],"IDP", CampList[State],"Kachin")</f>
        <v>0</v>
      </c>
      <c r="D20" s="430">
        <f>SUMIFS(CampList[Total],CampList[Township],$B20,CampList[Status],"open",CampList[Affected Population],"IDP", CampList[State],"Kachin")</f>
        <v>0</v>
      </c>
      <c r="E20" s="281">
        <f>COUNTIFS(CampList[Township],$B20,CampList[Status],"open",CampList[Affected Population],"IDP",CampList[State],"Kachin")</f>
        <v>0</v>
      </c>
      <c r="F20" s="204"/>
      <c r="G20" s="204"/>
      <c r="H20" s="204"/>
      <c r="I20" s="204"/>
      <c r="J20" s="204"/>
      <c r="K20" s="204"/>
      <c r="L20" s="204"/>
      <c r="M20" s="204"/>
      <c r="N20" s="204"/>
      <c r="O20" s="204"/>
      <c r="P20" s="204"/>
      <c r="Q20" s="204"/>
      <c r="R20" s="204"/>
      <c r="S20" s="426"/>
      <c r="U20" s="432"/>
      <c r="AI20" s="412" t="s">
        <v>173</v>
      </c>
      <c r="AJ20" s="427" t="e">
        <v>#REF!</v>
      </c>
      <c r="AK20" s="427" t="e">
        <v>#REF!</v>
      </c>
      <c r="AL20" s="427" t="e">
        <v>#REF!</v>
      </c>
      <c r="AM20" s="427" t="e">
        <v>#REF!</v>
      </c>
      <c r="AP20" s="193"/>
    </row>
    <row r="21" spans="1:42" ht="12.9" customHeight="1" x14ac:dyDescent="0.3">
      <c r="A21" s="421"/>
      <c r="B21" s="280" t="s">
        <v>151</v>
      </c>
      <c r="C21" s="430">
        <f>SUMIFS(CampList[HH],CampList[Township],$B21,CampList[Status],"open",CampList[Affected Population],"IDP", CampList[State],"Kachin")</f>
        <v>2833</v>
      </c>
      <c r="D21" s="430">
        <f>SUMIFS(CampList[Total],CampList[Township],$B21,CampList[Status],"open",CampList[Affected Population],"IDP", CampList[State],"Kachin")</f>
        <v>13390</v>
      </c>
      <c r="E21" s="281">
        <f>COUNTIFS(CampList[Township],$B21,CampList[Status],"open",CampList[Affected Population],"IDP",CampList[State],"Kachin")</f>
        <v>11</v>
      </c>
      <c r="F21" s="204"/>
      <c r="G21" s="204"/>
      <c r="H21" s="204"/>
      <c r="I21" s="204"/>
      <c r="J21" s="204"/>
      <c r="K21" s="204"/>
      <c r="L21" s="204"/>
      <c r="M21" s="204"/>
      <c r="N21" s="204"/>
      <c r="O21" s="204"/>
      <c r="P21" s="204"/>
      <c r="Q21" s="204"/>
      <c r="R21" s="204"/>
      <c r="S21" s="426"/>
      <c r="AI21" s="412" t="s">
        <v>180</v>
      </c>
      <c r="AJ21" s="427" t="e">
        <v>#REF!</v>
      </c>
      <c r="AK21" s="427" t="e">
        <v>#REF!</v>
      </c>
      <c r="AL21" s="427" t="e">
        <v>#REF!</v>
      </c>
      <c r="AM21" s="427" t="e">
        <v>#REF!</v>
      </c>
      <c r="AP21" s="193"/>
    </row>
    <row r="22" spans="1:42" ht="12.9" customHeight="1" x14ac:dyDescent="0.3">
      <c r="A22" s="421"/>
      <c r="B22" s="280" t="s">
        <v>173</v>
      </c>
      <c r="C22" s="430">
        <f>SUMIFS(CampList[HH],CampList[Township],$B22,CampList[Status],"open",CampList[Affected Population],"IDP", CampList[State],"Kachin")</f>
        <v>343</v>
      </c>
      <c r="D22" s="430">
        <f>SUMIFS(CampList[Total],CampList[Township],$B22,CampList[Status],"open",CampList[Affected Population],"IDP", CampList[State],"Kachin")</f>
        <v>1465</v>
      </c>
      <c r="E22" s="281">
        <f>COUNTIFS(CampList[Township],$B22,CampList[Status],"open",CampList[Affected Population],"IDP",CampList[State],"Kachin")</f>
        <v>8</v>
      </c>
      <c r="F22" s="204"/>
      <c r="G22" s="204"/>
      <c r="H22" s="204"/>
      <c r="I22" s="204"/>
      <c r="J22" s="204"/>
      <c r="K22" s="204"/>
      <c r="L22" s="204"/>
      <c r="M22" s="204"/>
      <c r="N22" s="204"/>
      <c r="O22" s="204"/>
      <c r="P22" s="204"/>
      <c r="Q22" s="204"/>
      <c r="R22" s="204"/>
      <c r="S22" s="426"/>
      <c r="AI22" s="412" t="s">
        <v>185</v>
      </c>
      <c r="AJ22" s="427" t="e">
        <v>#REF!</v>
      </c>
      <c r="AK22" s="427" t="e">
        <v>#REF!</v>
      </c>
      <c r="AL22" s="427" t="e">
        <v>#REF!</v>
      </c>
      <c r="AM22" s="427" t="e">
        <v>#REF!</v>
      </c>
      <c r="AP22" s="193"/>
    </row>
    <row r="23" spans="1:42" ht="12.9" customHeight="1" x14ac:dyDescent="0.3">
      <c r="A23" s="421"/>
      <c r="B23" s="280" t="s">
        <v>180</v>
      </c>
      <c r="C23" s="430">
        <f>SUMIFS(CampList[HH],CampList[Township],$B23,CampList[Status],"open",CampList[Affected Population],"IDP", CampList[State],"Kachin")</f>
        <v>76</v>
      </c>
      <c r="D23" s="430">
        <f>SUMIFS(CampList[Total],CampList[Township],$B23,CampList[Status],"open",CampList[Affected Population],"IDP", CampList[State],"Kachin")</f>
        <v>354</v>
      </c>
      <c r="E23" s="281">
        <f>COUNTIFS(CampList[Township],$B23,CampList[Status],"open",CampList[Affected Population],"IDP",CampList[State],"Kachin")</f>
        <v>4</v>
      </c>
      <c r="F23" s="204"/>
      <c r="G23" s="204"/>
      <c r="H23" s="204"/>
      <c r="I23" s="204"/>
      <c r="J23" s="204"/>
      <c r="K23" s="204"/>
      <c r="L23" s="204"/>
      <c r="M23" s="204"/>
      <c r="N23" s="204"/>
      <c r="O23" s="204"/>
      <c r="P23" s="204"/>
      <c r="Q23" s="204"/>
      <c r="R23" s="204"/>
      <c r="S23" s="426"/>
      <c r="AI23" s="412" t="s">
        <v>230</v>
      </c>
      <c r="AJ23" s="427" t="e">
        <v>#REF!</v>
      </c>
      <c r="AK23" s="427" t="e">
        <v>#REF!</v>
      </c>
      <c r="AL23" s="427" t="e">
        <v>#REF!</v>
      </c>
      <c r="AM23" s="427" t="e">
        <v>#REF!</v>
      </c>
      <c r="AP23" s="193"/>
    </row>
    <row r="24" spans="1:42" ht="12.9" customHeight="1" x14ac:dyDescent="0.3">
      <c r="A24" s="421"/>
      <c r="B24" s="280" t="s">
        <v>185</v>
      </c>
      <c r="C24" s="430">
        <f>SUMIFS(CampList[HH],CampList[Township],$B24,CampList[Status],"open",CampList[Affected Population],"IDP", CampList[State],"Kachin")</f>
        <v>4745</v>
      </c>
      <c r="D24" s="430">
        <f>SUMIFS(CampList[Total],CampList[Township],$B24,CampList[Status],"open",CampList[Affected Population],"IDP", CampList[State],"Kachin")</f>
        <v>24925</v>
      </c>
      <c r="E24" s="281">
        <f>COUNTIFS(CampList[Township],$B24,CampList[Status],"open",CampList[Affected Population],"IDP",CampList[State],"Kachin")</f>
        <v>15</v>
      </c>
      <c r="F24" s="204"/>
      <c r="G24" s="191"/>
      <c r="H24" s="191"/>
      <c r="I24" s="191"/>
      <c r="J24" s="191"/>
      <c r="K24" s="191"/>
      <c r="L24" s="191"/>
      <c r="M24" s="204"/>
      <c r="N24" s="204"/>
      <c r="O24" s="204"/>
      <c r="P24" s="204"/>
      <c r="Q24" s="204"/>
      <c r="R24" s="204"/>
      <c r="S24" s="426"/>
      <c r="AI24" s="412" t="s">
        <v>237</v>
      </c>
      <c r="AJ24" s="427" t="e">
        <v>#REF!</v>
      </c>
      <c r="AK24" s="427" t="e">
        <v>#REF!</v>
      </c>
      <c r="AL24" s="427" t="e">
        <v>#REF!</v>
      </c>
      <c r="AM24" s="427" t="e">
        <v>#REF!</v>
      </c>
      <c r="AP24" s="193"/>
    </row>
    <row r="25" spans="1:42" ht="12.9" customHeight="1" x14ac:dyDescent="0.3">
      <c r="A25" s="421"/>
      <c r="B25" s="280" t="s">
        <v>237</v>
      </c>
      <c r="C25" s="430">
        <f>SUMIFS(CampList[HH],CampList[Township],$B25,CampList[Status],"open",CampList[Affected Population],"IDP", CampList[State],"Kachin")</f>
        <v>2255</v>
      </c>
      <c r="D25" s="430">
        <f>SUMIFS(CampList[Total],CampList[Township],$B25,CampList[Status],"open",CampList[Affected Population],"IDP", CampList[State],"Kachin")</f>
        <v>11250</v>
      </c>
      <c r="E25" s="281">
        <f>COUNTIFS(CampList[Township],$B25,CampList[Status],"open",CampList[Affected Population],"IDP",CampList[State],"Kachin")</f>
        <v>25</v>
      </c>
      <c r="F25" s="204"/>
      <c r="G25" s="191"/>
      <c r="H25" s="191"/>
      <c r="I25" s="191"/>
      <c r="J25" s="191"/>
      <c r="K25" s="191"/>
      <c r="L25" s="191"/>
      <c r="M25" s="204"/>
      <c r="N25" s="204"/>
      <c r="O25" s="204"/>
      <c r="P25" s="204"/>
      <c r="Q25" s="204"/>
      <c r="R25" s="204"/>
      <c r="S25" s="426"/>
      <c r="AI25" s="412" t="s">
        <v>288</v>
      </c>
      <c r="AJ25" s="427" t="e">
        <v>#REF!</v>
      </c>
      <c r="AK25" s="427" t="e">
        <v>#REF!</v>
      </c>
      <c r="AL25" s="427" t="e">
        <v>#REF!</v>
      </c>
      <c r="AM25" s="427" t="e">
        <v>#REF!</v>
      </c>
      <c r="AP25" s="193"/>
    </row>
    <row r="26" spans="1:42" ht="12.9" customHeight="1" x14ac:dyDescent="0.3">
      <c r="A26" s="421"/>
      <c r="B26" s="280" t="s">
        <v>299</v>
      </c>
      <c r="C26" s="430">
        <f>SUMIFS(CampList[HH],CampList[Township],$B26,CampList[Status],"open",CampList[Affected Population],"IDP", CampList[State],"Kachin")</f>
        <v>85</v>
      </c>
      <c r="D26" s="430">
        <f>SUMIFS(CampList[Total],CampList[Township],$B26,CampList[Status],"open",CampList[Affected Population],"IDP", CampList[State],"Kachin")</f>
        <v>412</v>
      </c>
      <c r="E26" s="281">
        <f>COUNTIFS(CampList[Township],$B26,CampList[Status],"open",CampList[Affected Population],"IDP",CampList[State],"Kachin")</f>
        <v>3</v>
      </c>
      <c r="F26" s="204"/>
      <c r="G26" s="191"/>
      <c r="H26" s="191"/>
      <c r="I26" s="191"/>
      <c r="J26" s="191"/>
      <c r="K26" s="191"/>
      <c r="L26" s="191"/>
      <c r="M26" s="204"/>
      <c r="N26" s="204"/>
      <c r="O26" s="204"/>
      <c r="P26" s="204"/>
      <c r="Q26" s="204"/>
      <c r="R26" s="204"/>
      <c r="S26" s="426"/>
      <c r="AI26" s="412" t="s">
        <v>297</v>
      </c>
      <c r="AJ26" s="427" t="e">
        <v>#REF!</v>
      </c>
      <c r="AK26" s="427" t="e">
        <v>#REF!</v>
      </c>
      <c r="AL26" s="427" t="e">
        <v>#REF!</v>
      </c>
      <c r="AM26" s="427" t="e">
        <v>#REF!</v>
      </c>
    </row>
    <row r="27" spans="1:42" ht="12.9" customHeight="1" x14ac:dyDescent="0.3">
      <c r="A27" s="421"/>
      <c r="B27" s="280" t="s">
        <v>301</v>
      </c>
      <c r="C27" s="430">
        <f>SUMIFS(CampList[HH],CampList[Township],$B27,CampList[Status],"open",CampList[Affected Population],"IDP", CampList[State],"Kachin")</f>
        <v>134</v>
      </c>
      <c r="D27" s="430">
        <f>SUMIFS(CampList[Total],CampList[Township],$B27,CampList[Status],"open",CampList[Affected Population],"IDP", CampList[State],"Kachin")</f>
        <v>529</v>
      </c>
      <c r="E27" s="281">
        <f>COUNTIFS(CampList[Township],$B27,CampList[Status],"open",CampList[Affected Population],"IDP",CampList[State],"Kachin")</f>
        <v>2</v>
      </c>
      <c r="F27" s="204"/>
      <c r="G27" s="191"/>
      <c r="H27" s="191"/>
      <c r="I27" s="191"/>
      <c r="J27" s="191"/>
      <c r="K27" s="191"/>
      <c r="L27" s="191"/>
      <c r="M27" s="204"/>
      <c r="N27" s="204"/>
      <c r="O27" s="204"/>
      <c r="P27" s="204"/>
      <c r="Q27" s="204"/>
      <c r="R27" s="204"/>
      <c r="S27" s="426"/>
      <c r="AI27" s="412" t="s">
        <v>299</v>
      </c>
      <c r="AJ27" s="427" t="e">
        <v>#REF!</v>
      </c>
      <c r="AK27" s="427" t="e">
        <v>#REF!</v>
      </c>
      <c r="AL27" s="427" t="e">
        <v>#REF!</v>
      </c>
      <c r="AM27" s="427" t="e">
        <v>#REF!</v>
      </c>
    </row>
    <row r="28" spans="1:42" ht="12.9" customHeight="1" x14ac:dyDescent="0.3">
      <c r="A28" s="421"/>
      <c r="B28" s="280" t="s">
        <v>746</v>
      </c>
      <c r="C28" s="430">
        <f>SUMIFS(CampList[HH],CampList[Township],$B28,CampList[Status],"open",CampList[Affected Population],"IDP", CampList[State],"Kachin")</f>
        <v>198</v>
      </c>
      <c r="D28" s="430">
        <f>SUMIFS(CampList[Total],CampList[Township],$B28,CampList[Status],"open",CampList[Affected Population],"IDP", CampList[State],"Kachin")</f>
        <v>1143</v>
      </c>
      <c r="E28" s="281">
        <f>COUNTIFS(CampList[Township],$B28,CampList[Status],"open",CampList[Affected Population],"IDP",CampList[State],"Kachin")</f>
        <v>3</v>
      </c>
      <c r="F28" s="191"/>
      <c r="G28" s="191"/>
      <c r="H28" s="191"/>
      <c r="I28" s="191"/>
      <c r="J28" s="191"/>
      <c r="K28" s="191"/>
      <c r="L28" s="191"/>
      <c r="M28" s="204"/>
      <c r="N28" s="204"/>
      <c r="O28" s="204"/>
      <c r="P28" s="204"/>
      <c r="Q28" s="204"/>
      <c r="R28" s="204"/>
      <c r="S28" s="426"/>
      <c r="AI28" s="412" t="s">
        <v>301</v>
      </c>
      <c r="AJ28" s="427" t="e">
        <v>#REF!</v>
      </c>
      <c r="AK28" s="427" t="e">
        <v>#REF!</v>
      </c>
      <c r="AL28" s="427" t="e">
        <v>#REF!</v>
      </c>
      <c r="AM28" s="427" t="e">
        <v>#REF!</v>
      </c>
    </row>
    <row r="29" spans="1:42" ht="12.9" customHeight="1" x14ac:dyDescent="0.3">
      <c r="A29" s="421"/>
      <c r="B29" s="280" t="s">
        <v>1137</v>
      </c>
      <c r="C29" s="430">
        <f>SUMIFS(CampList[HH],CampList[Township],$B29,CampList[Status],"open",CampList[Affected Population],"IDP", CampList[State],"Kachin")</f>
        <v>235</v>
      </c>
      <c r="D29" s="430">
        <f>SUMIFS(CampList[Total],CampList[Township],$B29,CampList[Status],"open",CampList[Affected Population],"IDP", CampList[State],"Kachin")</f>
        <v>915</v>
      </c>
      <c r="E29" s="281">
        <f>COUNTIFS(CampList[Township],$B29,CampList[Status],"open",CampList[Affected Population],"IDP",CampList[State],"Kachin")</f>
        <v>4</v>
      </c>
      <c r="F29" s="191"/>
      <c r="G29" s="191"/>
      <c r="H29" s="191"/>
      <c r="I29" s="191"/>
      <c r="J29" s="191"/>
      <c r="K29" s="191"/>
      <c r="L29" s="191"/>
      <c r="M29" s="204"/>
      <c r="N29" s="204"/>
      <c r="O29" s="204"/>
      <c r="P29" s="204"/>
      <c r="Q29" s="204"/>
      <c r="R29" s="204"/>
      <c r="S29" s="426"/>
      <c r="AI29" s="412" t="s">
        <v>1201</v>
      </c>
      <c r="AJ29" s="427" t="e">
        <v>#REF!</v>
      </c>
      <c r="AK29" s="427" t="e">
        <v>#REF!</v>
      </c>
      <c r="AL29" s="427" t="e">
        <v>#REF!</v>
      </c>
      <c r="AM29" s="427" t="e">
        <v>#REF!</v>
      </c>
    </row>
    <row r="30" spans="1:42" ht="12.9" customHeight="1" x14ac:dyDescent="0.3">
      <c r="A30" s="421"/>
      <c r="B30" s="280" t="s">
        <v>309</v>
      </c>
      <c r="C30" s="430">
        <f>SUMIFS(CampList[HH],CampList[Township],$B30,CampList[Status],"open",CampList[Affected Population],"IDP", CampList[State],"Kachin")</f>
        <v>4869</v>
      </c>
      <c r="D30" s="430">
        <f>SUMIFS(CampList[Total],CampList[Township],$B30,CampList[Status],"open",CampList[Affected Population],"IDP", CampList[State],"Kachin")</f>
        <v>25288</v>
      </c>
      <c r="E30" s="281">
        <f>COUNTIFS(CampList[Township],$B30,CampList[Status],"open",CampList[Affected Population],"IDP",CampList[State],"Kachin")</f>
        <v>24</v>
      </c>
      <c r="F30" s="191"/>
      <c r="G30" s="191"/>
      <c r="H30" s="191"/>
      <c r="I30" s="191"/>
      <c r="J30" s="191"/>
      <c r="K30" s="191"/>
      <c r="L30" s="191"/>
      <c r="M30" s="204"/>
      <c r="N30" s="204"/>
      <c r="O30" s="204"/>
      <c r="P30" s="204"/>
      <c r="Q30" s="204"/>
      <c r="R30" s="204"/>
      <c r="S30" s="426"/>
      <c r="AI30" s="412" t="s">
        <v>746</v>
      </c>
      <c r="AJ30" s="427" t="e">
        <v>#REF!</v>
      </c>
      <c r="AK30" s="427" t="e">
        <v>#REF!</v>
      </c>
      <c r="AL30" s="427" t="e">
        <v>#REF!</v>
      </c>
      <c r="AM30" s="427" t="e">
        <v>#REF!</v>
      </c>
      <c r="AN30" s="433" t="e">
        <f>AM40+AJ40+AK40+AL40</f>
        <v>#REF!</v>
      </c>
    </row>
    <row r="31" spans="1:42" ht="15.75" customHeight="1" x14ac:dyDescent="0.3">
      <c r="A31" s="450" t="s">
        <v>378</v>
      </c>
      <c r="B31" s="282" t="s">
        <v>779</v>
      </c>
      <c r="C31" s="434">
        <f>SUM(C15:C30)</f>
        <v>18456</v>
      </c>
      <c r="D31" s="434">
        <f>SUM(D15:D30)</f>
        <v>94036</v>
      </c>
      <c r="E31" s="283">
        <f>SUM(E15:E30)</f>
        <v>136</v>
      </c>
      <c r="F31" s="191"/>
      <c r="G31" s="191"/>
      <c r="H31" s="191"/>
      <c r="I31" s="191"/>
      <c r="J31" s="191"/>
      <c r="K31" s="191"/>
      <c r="L31" s="191"/>
      <c r="M31" s="204"/>
      <c r="N31" s="204"/>
      <c r="O31" s="204"/>
      <c r="P31" s="204"/>
      <c r="Q31" s="204"/>
      <c r="R31" s="204"/>
      <c r="S31" s="426"/>
      <c r="AI31" s="412" t="s">
        <v>1137</v>
      </c>
      <c r="AJ31" s="427" t="e">
        <v>#REF!</v>
      </c>
      <c r="AK31" s="427" t="e">
        <v>#REF!</v>
      </c>
      <c r="AL31" s="427" t="e">
        <v>#REF!</v>
      </c>
      <c r="AM31" s="427" t="e">
        <v>#REF!</v>
      </c>
      <c r="AN31" s="433"/>
    </row>
    <row r="32" spans="1:42" ht="15.75" customHeight="1" x14ac:dyDescent="0.3">
      <c r="A32" s="421"/>
      <c r="B32" s="278" t="s">
        <v>1151</v>
      </c>
      <c r="C32" s="279"/>
      <c r="D32" s="279"/>
      <c r="E32" s="279"/>
      <c r="F32" s="191"/>
      <c r="G32" s="191"/>
      <c r="H32" s="191"/>
      <c r="I32" s="191"/>
      <c r="J32" s="191"/>
      <c r="K32" s="191"/>
      <c r="L32" s="191"/>
      <c r="M32" s="204"/>
      <c r="N32" s="204"/>
      <c r="O32" s="204"/>
      <c r="P32" s="204"/>
      <c r="Q32" s="204"/>
      <c r="R32" s="204"/>
      <c r="S32" s="426"/>
      <c r="AJ32" s="427" t="e">
        <v>#REF!</v>
      </c>
      <c r="AK32" s="427" t="e">
        <v>#REF!</v>
      </c>
      <c r="AL32" s="427" t="e">
        <v>#REF!</v>
      </c>
      <c r="AM32" s="427" t="e">
        <v>#REF!</v>
      </c>
      <c r="AN32" s="433"/>
    </row>
    <row r="33" spans="1:53" ht="14.1" customHeight="1" x14ac:dyDescent="0.3">
      <c r="A33" s="421"/>
      <c r="B33" s="284" t="s">
        <v>719</v>
      </c>
      <c r="C33" s="430">
        <f>SUMIFS(CampList[HH],CampList[Township],$B33,CampList[Status],"open",CampList[Affected Population],"IDP",  CampList[State],"Shan_North")</f>
        <v>99</v>
      </c>
      <c r="D33" s="430">
        <f>SUMIFS(CampList[Total],CampList[Township],$B33,CampList[Status],"open",CampList[Affected Population],"IDP",  CampList[State],"Shan_North")</f>
        <v>559</v>
      </c>
      <c r="E33" s="281">
        <f>COUNTIFS(CampList[Township],$B33,CampList[Status],"open",CampList[Affected Population],"IDP",  CampList[State],"Shan_North")</f>
        <v>2</v>
      </c>
      <c r="F33" s="191"/>
      <c r="G33" s="191"/>
      <c r="H33" s="191"/>
      <c r="I33" s="191"/>
      <c r="J33" s="191"/>
      <c r="K33" s="191"/>
      <c r="L33" s="191"/>
      <c r="M33" s="204"/>
      <c r="N33" s="204"/>
      <c r="O33" s="204"/>
      <c r="P33" s="204"/>
      <c r="Q33" s="204"/>
      <c r="R33" s="204"/>
      <c r="S33" s="426"/>
      <c r="AJ33" s="427" t="e">
        <v>#REF!</v>
      </c>
      <c r="AK33" s="427" t="e">
        <v>#REF!</v>
      </c>
      <c r="AL33" s="427" t="e">
        <v>#REF!</v>
      </c>
      <c r="AM33" s="427" t="e">
        <v>#REF!</v>
      </c>
      <c r="AN33" s="433"/>
    </row>
    <row r="34" spans="1:53" ht="14.1" customHeight="1" x14ac:dyDescent="0.3">
      <c r="A34" s="421"/>
      <c r="B34" s="284" t="s">
        <v>146</v>
      </c>
      <c r="C34" s="430">
        <f>SUMIFS(CampList[HH],CampList[Township],$B34,CampList[Status],"open",CampList[Affected Population],"IDP",  CampList[State],"Shan_North")</f>
        <v>867</v>
      </c>
      <c r="D34" s="430">
        <f>SUMIFS(CampList[Total],CampList[Township],$B34,CampList[Status],"open",CampList[Affected Population],"IDP",  CampList[State],"Shan_North")</f>
        <v>4193</v>
      </c>
      <c r="E34" s="281">
        <f>COUNTIFS(CampList[Township],$B34,CampList[Status],"open",CampList[Affected Population],"IDP",  CampList[State],"Shan_North")</f>
        <v>14</v>
      </c>
      <c r="F34" s="191"/>
      <c r="G34" s="191"/>
      <c r="H34" s="191"/>
      <c r="I34" s="191"/>
      <c r="J34" s="191"/>
      <c r="K34" s="191"/>
      <c r="L34" s="191"/>
      <c r="M34" s="204"/>
      <c r="N34" s="204"/>
      <c r="O34" s="204"/>
      <c r="P34" s="204"/>
      <c r="Q34" s="204"/>
      <c r="R34" s="204"/>
      <c r="S34" s="426"/>
      <c r="AJ34" s="427" t="e">
        <v>#REF!</v>
      </c>
      <c r="AK34" s="427" t="e">
        <v>#REF!</v>
      </c>
      <c r="AL34" s="427" t="e">
        <v>#REF!</v>
      </c>
      <c r="AM34" s="427" t="e">
        <v>#REF!</v>
      </c>
      <c r="AN34" s="433"/>
    </row>
    <row r="35" spans="1:53" ht="14.1" customHeight="1" x14ac:dyDescent="0.3">
      <c r="A35" s="421"/>
      <c r="B35" s="284" t="s">
        <v>166</v>
      </c>
      <c r="C35" s="430">
        <f>SUMIFS(CampList[HH],CampList[Township],$B35,CampList[Status],"open",CampList[Affected Population],"IDP",  CampList[State],"Shan_North")</f>
        <v>98</v>
      </c>
      <c r="D35" s="430">
        <f>SUMIFS(CampList[Total],CampList[Township],$B35,CampList[Status],"open",CampList[Affected Population],"IDP",  CampList[State],"Shan_North")</f>
        <v>541</v>
      </c>
      <c r="E35" s="281">
        <f>COUNTIFS(CampList[Township],$B35,CampList[Status],"open",CampList[Affected Population],"IDP",  CampList[State],"Shan_North")</f>
        <v>3</v>
      </c>
      <c r="F35" s="191"/>
      <c r="G35" s="191"/>
      <c r="H35" s="191"/>
      <c r="I35" s="191"/>
      <c r="J35" s="191"/>
      <c r="K35" s="191"/>
      <c r="L35" s="191"/>
      <c r="M35" s="204"/>
      <c r="N35" s="204"/>
      <c r="O35" s="204"/>
      <c r="P35" s="204"/>
      <c r="Q35" s="204"/>
      <c r="R35" s="204"/>
      <c r="S35" s="426"/>
      <c r="AJ35" s="427" t="e">
        <v>#REF!</v>
      </c>
      <c r="AK35" s="427" t="e">
        <v>#REF!</v>
      </c>
      <c r="AL35" s="427" t="e">
        <v>#REF!</v>
      </c>
      <c r="AM35" s="427" t="e">
        <v>#REF!</v>
      </c>
      <c r="AN35" s="433"/>
    </row>
    <row r="36" spans="1:53" ht="14.1" customHeight="1" x14ac:dyDescent="0.3">
      <c r="A36" s="421"/>
      <c r="B36" s="280" t="s">
        <v>230</v>
      </c>
      <c r="C36" s="430">
        <f>SUMIFS(CampList[HH],CampList[Township],$B36,CampList[Status],"open",CampList[Affected Population],"IDP",  CampList[State],"Shan_North")</f>
        <v>213</v>
      </c>
      <c r="D36" s="430">
        <f>SUMIFS(CampList[Total],CampList[Township],$B36,CampList[Status],"open",CampList[Affected Population],"IDP",  CampList[State],"Shan_North")</f>
        <v>1053</v>
      </c>
      <c r="E36" s="281">
        <f>COUNTIFS(CampList[Township],$B36,CampList[Status],"open",CampList[Affected Population],"IDP",  CampList[State],"Shan_North")</f>
        <v>3</v>
      </c>
      <c r="F36" s="191"/>
      <c r="G36" s="191"/>
      <c r="H36" s="191"/>
      <c r="I36" s="191"/>
      <c r="J36" s="191"/>
      <c r="K36" s="191"/>
      <c r="L36" s="191"/>
      <c r="M36" s="204"/>
      <c r="N36" s="204"/>
      <c r="O36" s="204"/>
      <c r="P36" s="204"/>
      <c r="Q36" s="204"/>
      <c r="R36" s="204"/>
      <c r="S36" s="426"/>
      <c r="AJ36" s="427" t="e">
        <v>#REF!</v>
      </c>
      <c r="AK36" s="427" t="e">
        <v>#REF!</v>
      </c>
      <c r="AL36" s="427" t="e">
        <v>#REF!</v>
      </c>
      <c r="AM36" s="427" t="e">
        <v>#REF!</v>
      </c>
      <c r="AN36" s="433"/>
    </row>
    <row r="37" spans="1:53" ht="14.1" customHeight="1" x14ac:dyDescent="0.3">
      <c r="A37" s="421"/>
      <c r="B37" s="280" t="s">
        <v>288</v>
      </c>
      <c r="C37" s="430">
        <f>SUMIFS(CampList[HH],CampList[Township],$B37,CampList[Status],"open",CampList[Affected Population],"IDP",  CampList[State],"Shan_North")</f>
        <v>410</v>
      </c>
      <c r="D37" s="430">
        <f>SUMIFS(CampList[Total],CampList[Township],$B37,CampList[Status],"open",CampList[Affected Population],"IDP",  CampList[State],"Shan_North")</f>
        <v>1977</v>
      </c>
      <c r="E37" s="281">
        <f>COUNTIFS(CampList[Township],$B37,CampList[Status],"open",CampList[Affected Population],"IDP",  CampList[State],"Shan_North")</f>
        <v>6</v>
      </c>
      <c r="F37" s="191"/>
      <c r="G37" s="191"/>
      <c r="H37" s="191"/>
      <c r="I37" s="191"/>
      <c r="J37" s="191"/>
      <c r="K37" s="191"/>
      <c r="L37" s="191"/>
      <c r="M37" s="204"/>
      <c r="N37" s="204"/>
      <c r="O37" s="204"/>
      <c r="P37" s="204"/>
      <c r="Q37" s="204"/>
      <c r="R37" s="204"/>
      <c r="S37" s="426"/>
      <c r="AJ37" s="427" t="e">
        <v>#REF!</v>
      </c>
      <c r="AK37" s="427" t="e">
        <v>#REF!</v>
      </c>
      <c r="AL37" s="427" t="e">
        <v>#REF!</v>
      </c>
      <c r="AM37" s="427" t="e">
        <v>#REF!</v>
      </c>
      <c r="AN37" s="433"/>
    </row>
    <row r="38" spans="1:53" ht="14.1" customHeight="1" x14ac:dyDescent="0.3">
      <c r="A38" s="421"/>
      <c r="B38" s="280" t="s">
        <v>1201</v>
      </c>
      <c r="C38" s="430">
        <f>SUMIFS(CampList[HH],CampList[Township],$B38,CampList[Status],"open",CampList[Affected Population],"IDP",  CampList[State],"Shan_North")</f>
        <v>37</v>
      </c>
      <c r="D38" s="430">
        <f>SUMIFS(CampList[Total],CampList[Township],$B38,CampList[Status],"open",CampList[Affected Population],"IDP",  CampList[State],"Shan_North")</f>
        <v>120</v>
      </c>
      <c r="E38" s="281">
        <f>COUNTIFS(CampList[Township],$B38,CampList[Status],"open",CampList[Affected Population],"IDP",  CampList[State],"Shan_North")</f>
        <v>1</v>
      </c>
      <c r="F38" s="191"/>
      <c r="G38" s="191"/>
      <c r="H38" s="191"/>
      <c r="I38" s="191"/>
      <c r="J38" s="191"/>
      <c r="K38" s="191"/>
      <c r="L38" s="191"/>
      <c r="M38" s="204"/>
      <c r="N38" s="204"/>
      <c r="O38" s="204"/>
      <c r="P38" s="204"/>
      <c r="Q38" s="204"/>
      <c r="R38" s="204"/>
      <c r="S38" s="426"/>
      <c r="AJ38" s="427"/>
      <c r="AK38" s="427"/>
      <c r="AL38" s="427"/>
      <c r="AM38" s="427"/>
      <c r="AN38" s="433"/>
    </row>
    <row r="39" spans="1:53" ht="14.1" customHeight="1" x14ac:dyDescent="0.3">
      <c r="A39" s="421"/>
      <c r="B39" s="280" t="s">
        <v>297</v>
      </c>
      <c r="C39" s="430">
        <f>SUMIFS(CampList[HH],CampList[Township],$B39,CampList[Status],"open",CampList[Affected Population],"IDP",  CampList[State],"Shan_North")</f>
        <v>162</v>
      </c>
      <c r="D39" s="430">
        <f>SUMIFS(CampList[Total],CampList[Township],$B39,CampList[Status],"open",CampList[Affected Population],"IDP",  CampList[State],"Shan_North")</f>
        <v>757</v>
      </c>
      <c r="E39" s="281">
        <f>COUNTIFS(CampList[Township],$B39,CampList[Status],"open",CampList[Affected Population],"IDP",  CampList[State],"Shan_North")</f>
        <v>4</v>
      </c>
      <c r="F39" s="191"/>
      <c r="G39" s="191"/>
      <c r="H39" s="191"/>
      <c r="I39" s="191"/>
      <c r="J39" s="191"/>
      <c r="K39" s="191"/>
      <c r="L39" s="191"/>
      <c r="M39" s="191"/>
      <c r="N39" s="191"/>
      <c r="O39" s="191"/>
      <c r="P39" s="191"/>
      <c r="Q39" s="191"/>
      <c r="R39" s="191"/>
      <c r="S39" s="426"/>
      <c r="AI39" s="412" t="s">
        <v>309</v>
      </c>
      <c r="AJ39" s="427" t="e">
        <v>#REF!</v>
      </c>
      <c r="AK39" s="427" t="e">
        <v>#REF!</v>
      </c>
      <c r="AL39" s="427" t="e">
        <v>#REF!</v>
      </c>
      <c r="AM39" s="427" t="e">
        <v>#REF!</v>
      </c>
      <c r="AN39" s="435"/>
    </row>
    <row r="40" spans="1:53" ht="15" customHeight="1" x14ac:dyDescent="0.3">
      <c r="A40" s="450" t="s">
        <v>1151</v>
      </c>
      <c r="B40" s="285" t="s">
        <v>1152</v>
      </c>
      <c r="C40" s="434">
        <f>SUM(C33:C39)</f>
        <v>1886</v>
      </c>
      <c r="D40" s="434">
        <f>SUM(D33:D39)</f>
        <v>9200</v>
      </c>
      <c r="E40" s="283">
        <f>SUM(E33:E39)</f>
        <v>33</v>
      </c>
      <c r="F40" s="191"/>
      <c r="G40" s="191"/>
      <c r="H40" s="191"/>
      <c r="I40" s="191"/>
      <c r="J40" s="191"/>
      <c r="K40" s="191"/>
      <c r="L40" s="191"/>
      <c r="M40" s="191"/>
      <c r="N40" s="191"/>
      <c r="O40" s="191"/>
      <c r="P40" s="191"/>
      <c r="Q40" s="191"/>
      <c r="R40" s="191"/>
      <c r="S40" s="426"/>
      <c r="AI40" s="412" t="s">
        <v>3</v>
      </c>
      <c r="AJ40" s="436" t="e">
        <f>SUM(AJ7:AJ39)</f>
        <v>#REF!</v>
      </c>
      <c r="AK40" s="436" t="e">
        <f>SUM(AK7:AK39)</f>
        <v>#REF!</v>
      </c>
      <c r="AL40" s="436" t="e">
        <f>SUM(AL7:AL39)</f>
        <v>#REF!</v>
      </c>
      <c r="AM40" s="436" t="e">
        <f>SUM(AM7:AM39)</f>
        <v>#REF!</v>
      </c>
      <c r="AN40" s="437"/>
      <c r="AO40" s="435"/>
    </row>
    <row r="41" spans="1:53" ht="15.75" customHeight="1" x14ac:dyDescent="0.3">
      <c r="A41" s="438"/>
      <c r="B41" s="276" t="s">
        <v>411</v>
      </c>
      <c r="C41" s="454">
        <f>C31+C40</f>
        <v>20342</v>
      </c>
      <c r="D41" s="661">
        <f>D31+D40</f>
        <v>103236</v>
      </c>
      <c r="E41" s="454">
        <f>E31+E40</f>
        <v>169</v>
      </c>
      <c r="F41" s="191"/>
      <c r="G41" s="191"/>
      <c r="H41" s="191"/>
      <c r="I41" s="191"/>
      <c r="J41" s="191"/>
      <c r="K41" s="191"/>
      <c r="L41" s="191"/>
      <c r="M41" s="204"/>
      <c r="N41" s="204"/>
      <c r="O41" s="204"/>
      <c r="P41" s="204"/>
      <c r="Q41" s="204"/>
      <c r="R41" s="204"/>
      <c r="S41" s="426"/>
      <c r="AO41" s="435"/>
    </row>
    <row r="42" spans="1:53" ht="12.75" customHeight="1" x14ac:dyDescent="0.3">
      <c r="A42" s="421"/>
      <c r="B42" s="191"/>
      <c r="C42" s="191"/>
      <c r="D42" s="191"/>
      <c r="E42" s="191"/>
      <c r="F42" s="191"/>
      <c r="G42" s="191"/>
      <c r="H42" s="191"/>
      <c r="I42" s="191"/>
      <c r="J42" s="191"/>
      <c r="K42" s="191"/>
      <c r="L42" s="191"/>
      <c r="M42" s="204"/>
      <c r="N42" s="204"/>
      <c r="O42" s="204"/>
      <c r="P42" s="204"/>
      <c r="Q42" s="204"/>
      <c r="R42" s="204"/>
      <c r="S42" s="426"/>
      <c r="AJ42" s="343" t="s">
        <v>1429</v>
      </c>
      <c r="AK42" s="343"/>
      <c r="AL42" s="343"/>
      <c r="AN42" s="412" t="s">
        <v>1428</v>
      </c>
      <c r="AO42" s="435">
        <f>SUM(AK42:AN42)</f>
        <v>0</v>
      </c>
    </row>
    <row r="43" spans="1:53" ht="14.1" customHeight="1" x14ac:dyDescent="0.3">
      <c r="A43" s="421"/>
      <c r="B43" s="746" t="s">
        <v>1454</v>
      </c>
      <c r="C43" s="747" t="s">
        <v>464</v>
      </c>
      <c r="D43" s="748"/>
      <c r="E43" s="749" t="s">
        <v>466</v>
      </c>
      <c r="F43" s="748"/>
      <c r="G43" s="749" t="s">
        <v>3</v>
      </c>
      <c r="H43" s="747"/>
      <c r="I43" s="748"/>
      <c r="J43" s="191"/>
      <c r="K43" s="191"/>
      <c r="L43" s="191"/>
      <c r="M43" s="204"/>
      <c r="N43" s="204"/>
      <c r="O43" s="204"/>
      <c r="P43" s="204"/>
      <c r="Q43" s="204"/>
      <c r="R43" s="204"/>
      <c r="S43" s="426"/>
      <c r="AJ43" s="343"/>
      <c r="AK43" s="343"/>
      <c r="AL43" s="343"/>
      <c r="AO43" s="435"/>
    </row>
    <row r="44" spans="1:53" ht="18.75" customHeight="1" x14ac:dyDescent="0.3">
      <c r="A44" s="421"/>
      <c r="B44" s="746"/>
      <c r="C44" s="195" t="s">
        <v>1431</v>
      </c>
      <c r="D44" s="448" t="s">
        <v>788</v>
      </c>
      <c r="E44" s="195" t="s">
        <v>1431</v>
      </c>
      <c r="F44" s="448" t="s">
        <v>788</v>
      </c>
      <c r="G44" s="309" t="s">
        <v>1431</v>
      </c>
      <c r="H44" s="449" t="s">
        <v>788</v>
      </c>
      <c r="I44" s="456" t="s">
        <v>1438</v>
      </c>
      <c r="J44" s="191"/>
      <c r="K44" s="191"/>
      <c r="L44" s="191"/>
      <c r="M44" s="204"/>
      <c r="N44" s="204"/>
      <c r="O44" s="204"/>
      <c r="P44" s="204"/>
      <c r="Q44" s="204"/>
      <c r="R44" s="204"/>
      <c r="S44" s="426"/>
      <c r="AJ44" s="343"/>
      <c r="AK44" s="343"/>
      <c r="AL44" s="343"/>
      <c r="AO44" s="435"/>
    </row>
    <row r="45" spans="1:53" ht="18.75" customHeight="1" x14ac:dyDescent="0.3">
      <c r="A45" s="421"/>
      <c r="B45" s="439" t="s">
        <v>507</v>
      </c>
      <c r="C45" s="430">
        <f>COUNTIFS(CampList[[#All],[Status]],"Open",CampList[[#All],[Type of Accomodation]],"Camp",CampList[[#All],[Accessibility]],"GCA")</f>
        <v>110</v>
      </c>
      <c r="D45" s="448">
        <f>SUMIFS(CampList[[#All],[Total]],CampList[[#All],[Status]],"Open",CampList[[#All],[Type of Accomodation]],"Camp",CampList[[#All],[Accessibility]],"GCA")</f>
        <v>52478</v>
      </c>
      <c r="E45" s="430">
        <f>COUNTIFS(CampList[[#All],[Status]],"Open",CampList[[#All],[Type of Accomodation]],"Camp",CampList[[#All],[Accessibility]],"NGCA")</f>
        <v>17</v>
      </c>
      <c r="F45" s="448">
        <f>SUMIFS(CampList[[#All],[Total]],CampList[[#All],[Status]],"Open",CampList[[#All],[Type of Accomodation]],"Camp",CampList[[#All],[Accessibility]],"NGCA")</f>
        <v>37521</v>
      </c>
      <c r="G45" s="195">
        <f>C45+E45</f>
        <v>127</v>
      </c>
      <c r="H45" s="448">
        <f>F45+D45</f>
        <v>89999</v>
      </c>
      <c r="I45" s="455">
        <f t="shared" ref="I45:I50" si="0">H45/$H$49</f>
        <v>0.87177922430160026</v>
      </c>
      <c r="J45" s="191"/>
      <c r="K45" s="191"/>
      <c r="L45" s="191"/>
      <c r="M45" s="204"/>
      <c r="N45" s="204"/>
      <c r="O45" s="204"/>
      <c r="P45" s="204"/>
      <c r="Q45" s="204"/>
      <c r="R45" s="204"/>
      <c r="S45" s="426"/>
      <c r="AI45" s="412" t="s">
        <v>0</v>
      </c>
      <c r="AJ45" s="412" t="s">
        <v>1422</v>
      </c>
      <c r="AK45" s="412" t="s">
        <v>1423</v>
      </c>
      <c r="AL45" s="412" t="s">
        <v>1430</v>
      </c>
      <c r="AM45" s="412" t="s">
        <v>1425</v>
      </c>
      <c r="AN45" s="412" t="s">
        <v>1428</v>
      </c>
      <c r="AO45" s="435">
        <f>SUM(AJ45:AN45)</f>
        <v>0</v>
      </c>
    </row>
    <row r="46" spans="1:53" ht="18.75" customHeight="1" x14ac:dyDescent="0.3">
      <c r="A46" s="421"/>
      <c r="B46" s="439" t="s">
        <v>12</v>
      </c>
      <c r="C46" s="430">
        <f>COUNTIFS(CampList[[#All],[Status]],"Open",CampList[[#All],[Type of Accomodation]],"Host Families",CampList[[#All],[Accessibility]],"GCA")</f>
        <v>11</v>
      </c>
      <c r="D46" s="448">
        <f>SUMIFS(CampList[[#All],[Total]],CampList[[#All],[Status]],"Open",CampList[[#All],[Type of Accomodation]],"Host Families",CampList[[#All],[Accessibility]],"GCA")</f>
        <v>5296</v>
      </c>
      <c r="E46" s="430">
        <f>COUNTIFS(CampList[[#All],[Status]],"Open",CampList[[#All],[Type of Accomodation]],"Host Families",CampList[[#All],[Accessibility]],"NGCA")</f>
        <v>1</v>
      </c>
      <c r="F46" s="448">
        <f>SUMIFS(CampList[[#All],[Total]],CampList[[#All],[Status]],"Open",CampList[[#All],[Type of Accomodation]],"Host Families",CampList[[#All],[Accessibility]],"NGCA")</f>
        <v>392</v>
      </c>
      <c r="G46" s="195">
        <f>C46+E46</f>
        <v>12</v>
      </c>
      <c r="H46" s="448">
        <f>F46+D46</f>
        <v>5688</v>
      </c>
      <c r="I46" s="455">
        <f t="shared" si="0"/>
        <v>5.5097059165407414E-2</v>
      </c>
      <c r="J46" s="191"/>
      <c r="K46" s="191"/>
      <c r="L46" s="191"/>
      <c r="M46" s="204"/>
      <c r="N46" s="204"/>
      <c r="O46" s="204"/>
      <c r="P46" s="204"/>
      <c r="Q46" s="204"/>
      <c r="R46" s="204"/>
      <c r="S46" s="426"/>
      <c r="AI46" s="412" t="s">
        <v>5</v>
      </c>
      <c r="AJ46" s="427" t="e">
        <v>#REF!</v>
      </c>
      <c r="AK46" s="427" t="e">
        <v>#REF!</v>
      </c>
      <c r="AL46" s="427" t="e">
        <v>#REF!</v>
      </c>
      <c r="AM46" s="427" t="e">
        <v>#REF!</v>
      </c>
      <c r="AN46" s="412" t="e">
        <v>#REF!</v>
      </c>
      <c r="AO46" s="440" t="e">
        <f>SUM(AJ46:AN46)</f>
        <v>#REF!</v>
      </c>
    </row>
    <row r="47" spans="1:53" s="412" customFormat="1" ht="18.75" customHeight="1" x14ac:dyDescent="0.3">
      <c r="A47" s="421"/>
      <c r="B47" s="439" t="s">
        <v>849</v>
      </c>
      <c r="C47" s="430">
        <f>COUNTIFS(CampList[[#All],[Status]],"Open",CampList[[#All],[Type of Accomodation]],"Boarding School",CampList[[#All],[Accessibility]],"GCA")</f>
        <v>0</v>
      </c>
      <c r="D47" s="448">
        <f>SUMIFS(CampList[[#All],[Total]],CampList[[#All],[Status]],"Open",CampList[[#All],[Type of Accomodation]],"Boarding School",CampList[[#All],[Accessibility]],"GCA")</f>
        <v>0</v>
      </c>
      <c r="E47" s="430">
        <f>COUNTIFS(CampList[[#All],[Status]],"Open",CampList[[#All],[Type of Accomodation]],"Boarding School",CampList[[#All],[Accessibility]],"NGCA")</f>
        <v>1</v>
      </c>
      <c r="F47" s="448">
        <f>SUMIFS(CampList[[#All],[Total]],CampList[[#All],[Status]],"Open",CampList[[#All],[Type of Accomodation]],"Boarding School",CampList[[#All],[Accessibility]],"NGCA")</f>
        <v>872</v>
      </c>
      <c r="G47" s="195">
        <f>C47+E47</f>
        <v>1</v>
      </c>
      <c r="H47" s="448">
        <f>F47+D47</f>
        <v>872</v>
      </c>
      <c r="I47" s="455">
        <f t="shared" si="0"/>
        <v>8.4466658917431905E-3</v>
      </c>
      <c r="J47" s="191"/>
      <c r="K47" s="191"/>
      <c r="L47" s="191"/>
      <c r="M47" s="204"/>
      <c r="N47" s="204"/>
      <c r="O47" s="204"/>
      <c r="P47" s="204"/>
      <c r="Q47" s="204"/>
      <c r="R47" s="204"/>
      <c r="S47" s="426"/>
      <c r="T47" s="195"/>
      <c r="U47" s="287"/>
      <c r="V47" s="287"/>
      <c r="W47" s="411"/>
      <c r="X47" s="411"/>
      <c r="Y47" s="411"/>
      <c r="Z47" s="411"/>
      <c r="AA47" s="411"/>
      <c r="AB47" s="411"/>
      <c r="AC47" s="411"/>
      <c r="AD47" s="411"/>
      <c r="AE47" s="411"/>
      <c r="AF47" s="411"/>
      <c r="AG47" s="411"/>
      <c r="AI47" s="412" t="s">
        <v>27</v>
      </c>
      <c r="AJ47" s="427" t="e">
        <v>#REF!</v>
      </c>
      <c r="AK47" s="427" t="e">
        <v>#REF!</v>
      </c>
      <c r="AL47" s="427" t="e">
        <v>#REF!</v>
      </c>
      <c r="AM47" s="427" t="e">
        <v>#REF!</v>
      </c>
      <c r="AN47" s="412" t="e">
        <v>#REF!</v>
      </c>
      <c r="AO47" s="440" t="e">
        <f t="shared" ref="AO47:AO65" si="1">SUM(AJ47:AN47)</f>
        <v>#REF!</v>
      </c>
      <c r="AU47" s="411"/>
      <c r="AV47" s="411"/>
      <c r="AW47" s="411"/>
      <c r="AX47" s="411"/>
      <c r="AY47" s="411"/>
      <c r="AZ47" s="287"/>
      <c r="BA47" s="287"/>
    </row>
    <row r="48" spans="1:53" s="412" customFormat="1" ht="18.75" customHeight="1" x14ac:dyDescent="0.3">
      <c r="A48" s="421"/>
      <c r="B48" s="439" t="s">
        <v>1391</v>
      </c>
      <c r="C48" s="430">
        <f>COUNTIFS(CampList[[#All],[Status]],"Open",CampList[[#All],[Type of Accomodation]],"Camp like setting",CampList[[#All],[Accessibility]],"GCA")</f>
        <v>29</v>
      </c>
      <c r="D48" s="448">
        <f>SUMIFS(CampList[[#All],[Total]],CampList[[#All],[Status]],"Open",CampList[[#All],[Type of Accomodation]],"Camp like setting",CampList[[#All],[Accessibility]],"GCA")</f>
        <v>6677</v>
      </c>
      <c r="E48" s="430">
        <f>COUNTIFS(CampList[[#All],[Status]],"Open",CampList[[#All],[Type of Accomodation]],"Camp like setting",CampList[[#All],[Accessibility]],"NGCA")</f>
        <v>0</v>
      </c>
      <c r="F48" s="448">
        <f>SUMIFS(CampList[[#All],[Total]],CampList[[#All],[Status]],"Open",CampList[[#All],[Type of Accomodation]],"Camp like setting",CampList[[#All],[Accessibility]],"NGCA")</f>
        <v>0</v>
      </c>
      <c r="G48" s="195">
        <f>C48+E48</f>
        <v>29</v>
      </c>
      <c r="H48" s="448">
        <f>F48+D48</f>
        <v>6677</v>
      </c>
      <c r="I48" s="455">
        <f t="shared" si="0"/>
        <v>6.4677050641249179E-2</v>
      </c>
      <c r="J48" s="191"/>
      <c r="K48" s="191"/>
      <c r="L48" s="191"/>
      <c r="M48" s="204"/>
      <c r="N48" s="204"/>
      <c r="O48" s="204"/>
      <c r="P48" s="204"/>
      <c r="Q48" s="204"/>
      <c r="R48" s="204"/>
      <c r="S48" s="426"/>
      <c r="T48" s="195"/>
      <c r="U48" s="287"/>
      <c r="V48" s="287"/>
      <c r="W48" s="411"/>
      <c r="X48" s="411"/>
      <c r="Y48" s="411"/>
      <c r="Z48" s="411"/>
      <c r="AA48" s="411"/>
      <c r="AB48" s="411"/>
      <c r="AC48" s="411"/>
      <c r="AD48" s="411"/>
      <c r="AE48" s="411"/>
      <c r="AF48" s="411"/>
      <c r="AG48" s="411"/>
      <c r="AJ48" s="427"/>
      <c r="AK48" s="427"/>
      <c r="AL48" s="427"/>
      <c r="AM48" s="427"/>
      <c r="AO48" s="440"/>
      <c r="AU48" s="411"/>
      <c r="AV48" s="411"/>
      <c r="AW48" s="411"/>
      <c r="AX48" s="411"/>
      <c r="AY48" s="411"/>
      <c r="AZ48" s="287"/>
      <c r="BA48" s="287"/>
    </row>
    <row r="49" spans="1:53" s="412" customFormat="1" ht="18.75" customHeight="1" x14ac:dyDescent="0.3">
      <c r="A49" s="421"/>
      <c r="B49" s="441" t="s">
        <v>3</v>
      </c>
      <c r="C49" s="434">
        <f t="shared" ref="C49:H49" si="2">SUM(C45:C48)</f>
        <v>150</v>
      </c>
      <c r="D49" s="449">
        <f t="shared" si="2"/>
        <v>64451</v>
      </c>
      <c r="E49" s="434">
        <f t="shared" si="2"/>
        <v>19</v>
      </c>
      <c r="F49" s="449">
        <f t="shared" si="2"/>
        <v>38785</v>
      </c>
      <c r="G49" s="309">
        <f t="shared" si="2"/>
        <v>169</v>
      </c>
      <c r="H49" s="449">
        <f t="shared" si="2"/>
        <v>103236</v>
      </c>
      <c r="I49" s="479">
        <f t="shared" si="0"/>
        <v>1</v>
      </c>
      <c r="J49" s="191"/>
      <c r="K49" s="191"/>
      <c r="L49" s="191"/>
      <c r="M49" s="204"/>
      <c r="N49" s="204"/>
      <c r="O49" s="204"/>
      <c r="P49" s="204"/>
      <c r="Q49" s="204"/>
      <c r="R49" s="204"/>
      <c r="S49" s="426"/>
      <c r="T49" s="195"/>
      <c r="U49" s="287"/>
      <c r="V49" s="287"/>
      <c r="W49" s="411"/>
      <c r="X49" s="411"/>
      <c r="Y49" s="411"/>
      <c r="Z49" s="411"/>
      <c r="AA49" s="411"/>
      <c r="AB49" s="411"/>
      <c r="AC49" s="411"/>
      <c r="AD49" s="411"/>
      <c r="AE49" s="411"/>
      <c r="AF49" s="411"/>
      <c r="AG49" s="411"/>
      <c r="AI49" s="412" t="s">
        <v>480</v>
      </c>
      <c r="AJ49" s="427" t="e">
        <v>#REF!</v>
      </c>
      <c r="AK49" s="427" t="e">
        <v>#REF!</v>
      </c>
      <c r="AL49" s="427" t="e">
        <v>#REF!</v>
      </c>
      <c r="AM49" s="427" t="e">
        <v>#REF!</v>
      </c>
      <c r="AN49" s="412" t="e">
        <v>#REF!</v>
      </c>
      <c r="AO49" s="440" t="e">
        <f t="shared" si="1"/>
        <v>#REF!</v>
      </c>
      <c r="AU49" s="411"/>
      <c r="AV49" s="411"/>
      <c r="AW49" s="411"/>
      <c r="AX49" s="411"/>
      <c r="AY49" s="411"/>
      <c r="AZ49" s="287"/>
      <c r="BA49" s="287"/>
    </row>
    <row r="50" spans="1:53" s="412" customFormat="1" ht="3.75" customHeight="1" x14ac:dyDescent="0.3">
      <c r="A50" s="421"/>
      <c r="B50" s="191"/>
      <c r="C50" s="191"/>
      <c r="D50" s="191"/>
      <c r="E50" s="191"/>
      <c r="F50" s="204"/>
      <c r="G50" s="204"/>
      <c r="H50" s="204"/>
      <c r="I50" s="455">
        <f t="shared" si="0"/>
        <v>0</v>
      </c>
      <c r="J50" s="204"/>
      <c r="K50" s="204"/>
      <c r="L50" s="204"/>
      <c r="M50" s="204"/>
      <c r="N50" s="204"/>
      <c r="O50" s="204"/>
      <c r="P50" s="204"/>
      <c r="Q50" s="204"/>
      <c r="R50" s="204"/>
      <c r="S50" s="426"/>
      <c r="T50" s="195"/>
      <c r="U50" s="287"/>
      <c r="V50" s="287"/>
      <c r="W50" s="411"/>
      <c r="X50" s="411"/>
      <c r="Y50" s="411"/>
      <c r="Z50" s="411"/>
      <c r="AA50" s="411"/>
      <c r="AB50" s="411"/>
      <c r="AC50" s="411"/>
      <c r="AD50" s="411"/>
      <c r="AE50" s="411"/>
      <c r="AF50" s="411"/>
      <c r="AG50" s="411"/>
      <c r="AI50" s="412" t="s">
        <v>144</v>
      </c>
      <c r="AJ50" s="427" t="e">
        <v>#REF!</v>
      </c>
      <c r="AK50" s="427" t="e">
        <v>#REF!</v>
      </c>
      <c r="AL50" s="427" t="e">
        <v>#REF!</v>
      </c>
      <c r="AM50" s="427" t="e">
        <v>#REF!</v>
      </c>
      <c r="AN50" s="412" t="e">
        <v>#REF!</v>
      </c>
      <c r="AO50" s="440" t="e">
        <f t="shared" si="1"/>
        <v>#REF!</v>
      </c>
      <c r="AU50" s="411"/>
      <c r="AV50" s="411"/>
      <c r="AW50" s="411"/>
      <c r="AX50" s="411"/>
      <c r="AY50" s="411"/>
      <c r="AZ50" s="287"/>
      <c r="BA50" s="287"/>
    </row>
    <row r="51" spans="1:53" s="412" customFormat="1" ht="48" customHeight="1" x14ac:dyDescent="0.3">
      <c r="A51" s="421"/>
      <c r="B51" s="191"/>
      <c r="C51" s="191"/>
      <c r="D51" s="191"/>
      <c r="E51" s="191"/>
      <c r="F51" s="204"/>
      <c r="G51" s="204"/>
      <c r="H51" s="204"/>
      <c r="I51" s="204"/>
      <c r="J51" s="204"/>
      <c r="K51" s="204"/>
      <c r="L51" s="204"/>
      <c r="M51" s="204"/>
      <c r="N51" s="204"/>
      <c r="O51" s="204"/>
      <c r="P51" s="204"/>
      <c r="Q51" s="204"/>
      <c r="R51" s="204"/>
      <c r="S51" s="426"/>
      <c r="T51" s="195"/>
      <c r="U51" s="287"/>
      <c r="V51" s="287"/>
      <c r="W51" s="411"/>
      <c r="X51" s="411"/>
      <c r="Y51" s="411"/>
      <c r="Z51" s="411"/>
      <c r="AA51" s="411"/>
      <c r="AB51" s="411"/>
      <c r="AC51" s="411"/>
      <c r="AD51" s="411"/>
      <c r="AE51" s="411"/>
      <c r="AF51" s="411"/>
      <c r="AG51" s="411"/>
      <c r="AI51" s="412" t="s">
        <v>146</v>
      </c>
      <c r="AJ51" s="427" t="e">
        <v>#REF!</v>
      </c>
      <c r="AK51" s="427" t="e">
        <v>#REF!</v>
      </c>
      <c r="AL51" s="427" t="e">
        <v>#REF!</v>
      </c>
      <c r="AM51" s="427" t="e">
        <v>#REF!</v>
      </c>
      <c r="AN51" s="412" t="e">
        <v>#REF!</v>
      </c>
      <c r="AO51" s="440" t="e">
        <f t="shared" si="1"/>
        <v>#REF!</v>
      </c>
      <c r="AU51" s="411"/>
      <c r="AV51" s="411"/>
      <c r="AW51" s="411"/>
      <c r="AX51" s="411"/>
      <c r="AY51" s="411"/>
      <c r="AZ51" s="287"/>
      <c r="BA51" s="287"/>
    </row>
    <row r="52" spans="1:53" s="412" customFormat="1" ht="1.5" customHeight="1" thickBot="1" x14ac:dyDescent="0.35">
      <c r="A52" s="442"/>
      <c r="B52" s="443"/>
      <c r="C52" s="443"/>
      <c r="D52" s="443"/>
      <c r="E52" s="443"/>
      <c r="F52" s="443"/>
      <c r="G52" s="443"/>
      <c r="H52" s="443"/>
      <c r="I52" s="443"/>
      <c r="J52" s="443"/>
      <c r="K52" s="443"/>
      <c r="L52" s="443"/>
      <c r="M52" s="443"/>
      <c r="N52" s="443"/>
      <c r="O52" s="443"/>
      <c r="P52" s="443"/>
      <c r="Q52" s="444"/>
      <c r="R52" s="444"/>
      <c r="S52" s="445"/>
      <c r="T52" s="195"/>
      <c r="U52" s="287"/>
      <c r="V52" s="287"/>
      <c r="W52" s="411"/>
      <c r="X52" s="411"/>
      <c r="Y52" s="411"/>
      <c r="Z52" s="411"/>
      <c r="AA52" s="411"/>
      <c r="AB52" s="411"/>
      <c r="AC52" s="411"/>
      <c r="AD52" s="411"/>
      <c r="AE52" s="411"/>
      <c r="AF52" s="411"/>
      <c r="AG52" s="411"/>
      <c r="AI52" s="412" t="s">
        <v>151</v>
      </c>
      <c r="AJ52" s="427" t="e">
        <v>#REF!</v>
      </c>
      <c r="AK52" s="427" t="e">
        <v>#REF!</v>
      </c>
      <c r="AL52" s="427" t="e">
        <v>#REF!</v>
      </c>
      <c r="AM52" s="427" t="e">
        <v>#REF!</v>
      </c>
      <c r="AN52" s="412" t="e">
        <v>#REF!</v>
      </c>
      <c r="AO52" s="440" t="e">
        <f t="shared" si="1"/>
        <v>#REF!</v>
      </c>
      <c r="AU52" s="411"/>
      <c r="AV52" s="411"/>
      <c r="AW52" s="411"/>
      <c r="AX52" s="411"/>
      <c r="AY52" s="411"/>
      <c r="AZ52" s="287"/>
      <c r="BA52" s="287"/>
    </row>
    <row r="53" spans="1:53" s="412" customFormat="1" ht="18.600000000000001" customHeight="1" x14ac:dyDescent="0.3">
      <c r="A53" s="422"/>
      <c r="B53" s="422"/>
      <c r="C53" s="422"/>
      <c r="D53" s="422"/>
      <c r="E53" s="422"/>
      <c r="F53" s="422"/>
      <c r="G53" s="422"/>
      <c r="H53" s="422"/>
      <c r="I53" s="422"/>
      <c r="J53" s="422"/>
      <c r="K53" s="422"/>
      <c r="L53" s="422"/>
      <c r="M53" s="422"/>
      <c r="N53" s="422"/>
      <c r="O53" s="422"/>
      <c r="P53" s="422"/>
      <c r="Q53" s="204"/>
      <c r="R53" s="204"/>
      <c r="S53" s="422"/>
      <c r="T53" s="195"/>
      <c r="U53" s="287"/>
      <c r="V53" s="287"/>
      <c r="W53" s="411"/>
      <c r="X53" s="411"/>
      <c r="Y53" s="411"/>
      <c r="Z53" s="411"/>
      <c r="AA53" s="411"/>
      <c r="AB53" s="411"/>
      <c r="AC53" s="411"/>
      <c r="AD53" s="411"/>
      <c r="AE53" s="411"/>
      <c r="AF53" s="411"/>
      <c r="AG53" s="411"/>
      <c r="AI53" s="412" t="s">
        <v>361</v>
      </c>
      <c r="AJ53" s="427" t="e">
        <v>#REF!</v>
      </c>
      <c r="AK53" s="427" t="e">
        <v>#REF!</v>
      </c>
      <c r="AL53" s="427" t="e">
        <v>#REF!</v>
      </c>
      <c r="AM53" s="427" t="e">
        <v>#REF!</v>
      </c>
      <c r="AN53" s="412" t="e">
        <v>#REF!</v>
      </c>
      <c r="AO53" s="440" t="e">
        <f t="shared" si="1"/>
        <v>#REF!</v>
      </c>
      <c r="AU53" s="411"/>
      <c r="AV53" s="411"/>
      <c r="AW53" s="411"/>
      <c r="AX53" s="411"/>
      <c r="AY53" s="411"/>
      <c r="AZ53" s="287"/>
      <c r="BA53" s="287"/>
    </row>
    <row r="54" spans="1:53" s="412" customFormat="1" x14ac:dyDescent="0.3">
      <c r="A54" s="195"/>
      <c r="B54" s="195"/>
      <c r="C54" s="195"/>
      <c r="D54" s="195"/>
      <c r="E54" s="195"/>
      <c r="F54" s="195"/>
      <c r="G54" s="195"/>
      <c r="H54" s="195"/>
      <c r="I54" s="195"/>
      <c r="J54" s="195"/>
      <c r="K54" s="195"/>
      <c r="L54" s="195"/>
      <c r="M54" s="195"/>
      <c r="N54" s="195"/>
      <c r="O54" s="195"/>
      <c r="P54" s="195"/>
      <c r="Q54" s="195"/>
      <c r="R54" s="195"/>
      <c r="S54" s="195"/>
      <c r="T54" s="195"/>
      <c r="U54" s="287"/>
      <c r="V54" s="287"/>
      <c r="W54" s="411"/>
      <c r="X54" s="411"/>
      <c r="Y54" s="411"/>
      <c r="Z54" s="411"/>
      <c r="AA54" s="411"/>
      <c r="AB54" s="411"/>
      <c r="AC54" s="411"/>
      <c r="AD54" s="411"/>
      <c r="AE54" s="411"/>
      <c r="AF54" s="411"/>
      <c r="AG54" s="411"/>
      <c r="AI54" s="412" t="s">
        <v>166</v>
      </c>
      <c r="AJ54" s="427" t="e">
        <v>#REF!</v>
      </c>
      <c r="AK54" s="427" t="e">
        <v>#REF!</v>
      </c>
      <c r="AL54" s="427" t="e">
        <v>#REF!</v>
      </c>
      <c r="AM54" s="427" t="e">
        <v>#REF!</v>
      </c>
      <c r="AN54" s="412" t="e">
        <v>#REF!</v>
      </c>
      <c r="AO54" s="440" t="e">
        <f t="shared" si="1"/>
        <v>#REF!</v>
      </c>
      <c r="AU54" s="411"/>
      <c r="AV54" s="411"/>
      <c r="AW54" s="411"/>
      <c r="AX54" s="411"/>
      <c r="AY54" s="411"/>
      <c r="AZ54" s="287"/>
      <c r="BA54" s="287"/>
    </row>
    <row r="55" spans="1:53" s="412" customFormat="1" x14ac:dyDescent="0.3">
      <c r="A55" s="195"/>
      <c r="B55" s="195"/>
      <c r="C55" s="195"/>
      <c r="D55" s="195"/>
      <c r="E55" s="195"/>
      <c r="F55" s="451"/>
      <c r="G55" s="195"/>
      <c r="H55" s="195"/>
      <c r="I55" s="195"/>
      <c r="J55" s="195"/>
      <c r="K55" s="195"/>
      <c r="L55" s="195"/>
      <c r="M55" s="195"/>
      <c r="N55" s="195"/>
      <c r="O55" s="195"/>
      <c r="P55" s="195"/>
      <c r="Q55" s="195"/>
      <c r="R55" s="195"/>
      <c r="S55" s="195"/>
      <c r="T55" s="195"/>
      <c r="U55" s="287"/>
      <c r="V55" s="287"/>
      <c r="W55" s="411"/>
      <c r="X55" s="411"/>
      <c r="Y55" s="411"/>
      <c r="Z55" s="411"/>
      <c r="AA55" s="411"/>
      <c r="AB55" s="411"/>
      <c r="AC55" s="411"/>
      <c r="AD55" s="411"/>
      <c r="AE55" s="411"/>
      <c r="AF55" s="411"/>
      <c r="AG55" s="411"/>
      <c r="AI55" s="412" t="s">
        <v>173</v>
      </c>
      <c r="AJ55" s="427" t="e">
        <v>#REF!</v>
      </c>
      <c r="AK55" s="427" t="e">
        <v>#REF!</v>
      </c>
      <c r="AL55" s="427" t="e">
        <v>#REF!</v>
      </c>
      <c r="AM55" s="427" t="e">
        <v>#REF!</v>
      </c>
      <c r="AN55" s="412" t="e">
        <v>#REF!</v>
      </c>
      <c r="AO55" s="440" t="e">
        <f t="shared" si="1"/>
        <v>#REF!</v>
      </c>
      <c r="AU55" s="411"/>
      <c r="AV55" s="411"/>
      <c r="AW55" s="411"/>
      <c r="AX55" s="411"/>
      <c r="AY55" s="411"/>
      <c r="AZ55" s="287"/>
      <c r="BA55" s="287"/>
    </row>
    <row r="56" spans="1:53" s="412" customFormat="1" x14ac:dyDescent="0.3">
      <c r="A56" s="195"/>
      <c r="B56" s="195"/>
      <c r="C56" s="195"/>
      <c r="D56" s="195"/>
      <c r="E56" s="195"/>
      <c r="F56" s="195"/>
      <c r="G56" s="451"/>
      <c r="H56" s="195"/>
      <c r="I56" s="195"/>
      <c r="J56" s="195"/>
      <c r="K56" s="195"/>
      <c r="L56" s="195"/>
      <c r="M56" s="195"/>
      <c r="N56" s="195"/>
      <c r="O56" s="195"/>
      <c r="P56" s="195"/>
      <c r="Q56" s="195"/>
      <c r="R56" s="195"/>
      <c r="S56" s="195"/>
      <c r="T56" s="195"/>
      <c r="U56" s="287"/>
      <c r="V56" s="287"/>
      <c r="W56" s="411"/>
      <c r="X56" s="411"/>
      <c r="Y56" s="411"/>
      <c r="Z56" s="411"/>
      <c r="AA56" s="411"/>
      <c r="AB56" s="411"/>
      <c r="AC56" s="411"/>
      <c r="AD56" s="411"/>
      <c r="AE56" s="411"/>
      <c r="AF56" s="411"/>
      <c r="AG56" s="411"/>
      <c r="AI56" s="412" t="s">
        <v>719</v>
      </c>
      <c r="AJ56" s="427" t="e">
        <v>#REF!</v>
      </c>
      <c r="AK56" s="427" t="e">
        <v>#REF!</v>
      </c>
      <c r="AL56" s="427" t="e">
        <v>#REF!</v>
      </c>
      <c r="AM56" s="427" t="e">
        <v>#REF!</v>
      </c>
      <c r="AN56" s="412" t="e">
        <v>#REF!</v>
      </c>
      <c r="AO56" s="440" t="e">
        <f t="shared" si="1"/>
        <v>#REF!</v>
      </c>
      <c r="AU56" s="411"/>
      <c r="AV56" s="411"/>
      <c r="AW56" s="411"/>
      <c r="AX56" s="411"/>
      <c r="AY56" s="411"/>
      <c r="AZ56" s="287"/>
      <c r="BA56" s="287"/>
    </row>
    <row r="57" spans="1:53" s="412" customFormat="1" x14ac:dyDescent="0.3">
      <c r="A57" s="195"/>
      <c r="B57" s="195"/>
      <c r="C57" s="195"/>
      <c r="D57" s="195"/>
      <c r="E57" s="446"/>
      <c r="F57" s="195"/>
      <c r="G57" s="195"/>
      <c r="H57" s="195"/>
      <c r="I57" s="195"/>
      <c r="J57" s="195"/>
      <c r="K57" s="195"/>
      <c r="L57" s="195"/>
      <c r="M57" s="195"/>
      <c r="N57" s="195"/>
      <c r="O57" s="195"/>
      <c r="P57" s="195"/>
      <c r="Q57" s="195"/>
      <c r="R57" s="195"/>
      <c r="S57" s="195"/>
      <c r="T57" s="195"/>
      <c r="U57" s="287"/>
      <c r="V57" s="287"/>
      <c r="W57" s="411"/>
      <c r="X57" s="411"/>
      <c r="Y57" s="411"/>
      <c r="Z57" s="411"/>
      <c r="AA57" s="411"/>
      <c r="AB57" s="411"/>
      <c r="AC57" s="411"/>
      <c r="AD57" s="411"/>
      <c r="AE57" s="411"/>
      <c r="AF57" s="411"/>
      <c r="AG57" s="411"/>
      <c r="AI57" s="412" t="s">
        <v>180</v>
      </c>
      <c r="AJ57" s="427" t="e">
        <v>#REF!</v>
      </c>
      <c r="AK57" s="427" t="e">
        <v>#REF!</v>
      </c>
      <c r="AL57" s="427" t="e">
        <v>#REF!</v>
      </c>
      <c r="AM57" s="427" t="e">
        <v>#REF!</v>
      </c>
      <c r="AN57" s="412" t="e">
        <v>#REF!</v>
      </c>
      <c r="AO57" s="440" t="e">
        <f t="shared" si="1"/>
        <v>#REF!</v>
      </c>
      <c r="AU57" s="411"/>
      <c r="AV57" s="411"/>
      <c r="AW57" s="411"/>
      <c r="AX57" s="411"/>
      <c r="AY57" s="411"/>
      <c r="AZ57" s="287"/>
      <c r="BA57" s="287"/>
    </row>
    <row r="58" spans="1:53" s="412" customFormat="1" x14ac:dyDescent="0.3">
      <c r="A58" s="195"/>
      <c r="B58" s="195"/>
      <c r="C58" s="195"/>
      <c r="D58" s="195"/>
      <c r="E58" s="195"/>
      <c r="F58" s="195"/>
      <c r="G58" s="195"/>
      <c r="H58" s="195"/>
      <c r="I58" s="195"/>
      <c r="J58" s="195"/>
      <c r="K58" s="195"/>
      <c r="L58" s="195"/>
      <c r="M58" s="195"/>
      <c r="N58" s="195"/>
      <c r="O58" s="195"/>
      <c r="P58" s="195"/>
      <c r="Q58" s="195"/>
      <c r="R58" s="195"/>
      <c r="S58" s="195"/>
      <c r="T58" s="195"/>
      <c r="U58" s="287"/>
      <c r="V58" s="287"/>
      <c r="W58" s="411"/>
      <c r="X58" s="411"/>
      <c r="Y58" s="411"/>
      <c r="Z58" s="411"/>
      <c r="AA58" s="411"/>
      <c r="AB58" s="411"/>
      <c r="AC58" s="411"/>
      <c r="AD58" s="411"/>
      <c r="AE58" s="411"/>
      <c r="AF58" s="411"/>
      <c r="AG58" s="411"/>
      <c r="AI58" s="412" t="s">
        <v>185</v>
      </c>
      <c r="AJ58" s="427" t="e">
        <v>#REF!</v>
      </c>
      <c r="AK58" s="427" t="e">
        <v>#REF!</v>
      </c>
      <c r="AL58" s="427" t="e">
        <v>#REF!</v>
      </c>
      <c r="AM58" s="427" t="e">
        <v>#REF!</v>
      </c>
      <c r="AN58" s="412" t="e">
        <v>#REF!</v>
      </c>
      <c r="AO58" s="440" t="e">
        <f t="shared" si="1"/>
        <v>#REF!</v>
      </c>
      <c r="AU58" s="411"/>
      <c r="AV58" s="411"/>
      <c r="AW58" s="411"/>
      <c r="AX58" s="411"/>
      <c r="AY58" s="411"/>
      <c r="AZ58" s="287"/>
      <c r="BA58" s="287"/>
    </row>
    <row r="59" spans="1:53" s="412" customFormat="1" x14ac:dyDescent="0.3">
      <c r="A59" s="195"/>
      <c r="B59" s="195"/>
      <c r="C59" s="195"/>
      <c r="D59" s="195"/>
      <c r="E59" s="195"/>
      <c r="F59" s="195"/>
      <c r="G59" s="195"/>
      <c r="H59" s="195"/>
      <c r="I59" s="195"/>
      <c r="J59" s="195"/>
      <c r="K59" s="195"/>
      <c r="L59" s="195"/>
      <c r="M59" s="195"/>
      <c r="N59" s="195"/>
      <c r="O59" s="195"/>
      <c r="P59" s="195"/>
      <c r="Q59" s="195"/>
      <c r="R59" s="195"/>
      <c r="S59" s="195"/>
      <c r="T59" s="195"/>
      <c r="U59" s="287"/>
      <c r="V59" s="287"/>
      <c r="W59" s="411"/>
      <c r="X59" s="411"/>
      <c r="Y59" s="411"/>
      <c r="Z59" s="411"/>
      <c r="AA59" s="411"/>
      <c r="AB59" s="411"/>
      <c r="AC59" s="411"/>
      <c r="AD59" s="411"/>
      <c r="AE59" s="411"/>
      <c r="AF59" s="411"/>
      <c r="AG59" s="411"/>
      <c r="AI59" s="412" t="s">
        <v>230</v>
      </c>
      <c r="AJ59" s="427" t="e">
        <v>#REF!</v>
      </c>
      <c r="AK59" s="427" t="e">
        <v>#REF!</v>
      </c>
      <c r="AL59" s="427" t="e">
        <v>#REF!</v>
      </c>
      <c r="AM59" s="427" t="e">
        <v>#REF!</v>
      </c>
      <c r="AN59" s="412" t="e">
        <v>#REF!</v>
      </c>
      <c r="AO59" s="440" t="e">
        <f t="shared" si="1"/>
        <v>#REF!</v>
      </c>
      <c r="AU59" s="411"/>
      <c r="AV59" s="411"/>
      <c r="AW59" s="411"/>
      <c r="AX59" s="411"/>
      <c r="AY59" s="411"/>
      <c r="AZ59" s="287"/>
      <c r="BA59" s="287"/>
    </row>
    <row r="60" spans="1:53" s="412" customFormat="1" x14ac:dyDescent="0.3">
      <c r="A60" s="195"/>
      <c r="B60" s="195"/>
      <c r="C60" s="195"/>
      <c r="D60" s="195"/>
      <c r="E60" s="195"/>
      <c r="F60" s="195"/>
      <c r="G60" s="195"/>
      <c r="H60" s="195"/>
      <c r="I60" s="195"/>
      <c r="J60" s="195"/>
      <c r="K60" s="195"/>
      <c r="L60" s="195"/>
      <c r="M60" s="195"/>
      <c r="N60" s="195"/>
      <c r="O60" s="195"/>
      <c r="P60" s="195"/>
      <c r="Q60" s="195"/>
      <c r="R60" s="195"/>
      <c r="S60" s="195"/>
      <c r="T60" s="195"/>
      <c r="U60" s="287"/>
      <c r="V60" s="287"/>
      <c r="W60" s="411"/>
      <c r="X60" s="411"/>
      <c r="Y60" s="411"/>
      <c r="Z60" s="411"/>
      <c r="AA60" s="411"/>
      <c r="AB60" s="411"/>
      <c r="AC60" s="411"/>
      <c r="AD60" s="411"/>
      <c r="AE60" s="411"/>
      <c r="AF60" s="411"/>
      <c r="AG60" s="411"/>
      <c r="AI60" s="412" t="s">
        <v>237</v>
      </c>
      <c r="AJ60" s="427" t="e">
        <v>#REF!</v>
      </c>
      <c r="AK60" s="427" t="e">
        <v>#REF!</v>
      </c>
      <c r="AL60" s="427" t="e">
        <v>#REF!</v>
      </c>
      <c r="AM60" s="427" t="e">
        <v>#REF!</v>
      </c>
      <c r="AN60" s="412" t="e">
        <v>#REF!</v>
      </c>
      <c r="AO60" s="440" t="e">
        <f t="shared" si="1"/>
        <v>#REF!</v>
      </c>
      <c r="AU60" s="411"/>
      <c r="AV60" s="411"/>
      <c r="AW60" s="411"/>
      <c r="AX60" s="411"/>
      <c r="AY60" s="411"/>
      <c r="AZ60" s="287"/>
      <c r="BA60" s="287"/>
    </row>
    <row r="61" spans="1:53" s="412" customFormat="1" x14ac:dyDescent="0.3">
      <c r="A61" s="195"/>
      <c r="B61" s="195"/>
      <c r="C61" s="195"/>
      <c r="D61" s="195"/>
      <c r="E61" s="195"/>
      <c r="F61" s="195"/>
      <c r="G61" s="195"/>
      <c r="H61" s="195"/>
      <c r="I61" s="195"/>
      <c r="J61" s="195"/>
      <c r="K61" s="195"/>
      <c r="L61" s="195"/>
      <c r="M61" s="195"/>
      <c r="N61" s="195"/>
      <c r="O61" s="195"/>
      <c r="P61" s="195"/>
      <c r="Q61" s="195"/>
      <c r="R61" s="195"/>
      <c r="S61" s="195"/>
      <c r="T61" s="195"/>
      <c r="U61" s="287"/>
      <c r="V61" s="287"/>
      <c r="W61" s="411"/>
      <c r="X61" s="411"/>
      <c r="Y61" s="411"/>
      <c r="Z61" s="411"/>
      <c r="AA61" s="411"/>
      <c r="AB61" s="411"/>
      <c r="AC61" s="411"/>
      <c r="AD61" s="411"/>
      <c r="AE61" s="411"/>
      <c r="AF61" s="411"/>
      <c r="AG61" s="411"/>
      <c r="AI61" s="412" t="s">
        <v>288</v>
      </c>
      <c r="AJ61" s="427" t="e">
        <v>#REF!</v>
      </c>
      <c r="AK61" s="427" t="e">
        <v>#REF!</v>
      </c>
      <c r="AL61" s="427" t="e">
        <v>#REF!</v>
      </c>
      <c r="AM61" s="427" t="e">
        <v>#REF!</v>
      </c>
      <c r="AN61" s="412" t="e">
        <v>#REF!</v>
      </c>
      <c r="AO61" s="440" t="e">
        <f t="shared" si="1"/>
        <v>#REF!</v>
      </c>
      <c r="AU61" s="411"/>
      <c r="AV61" s="411"/>
      <c r="AW61" s="411"/>
      <c r="AX61" s="411"/>
      <c r="AY61" s="411"/>
      <c r="AZ61" s="287"/>
      <c r="BA61" s="287"/>
    </row>
    <row r="62" spans="1:53" s="412" customFormat="1" x14ac:dyDescent="0.3">
      <c r="A62" s="195"/>
      <c r="B62" s="195"/>
      <c r="C62" s="195"/>
      <c r="D62" s="195"/>
      <c r="E62" s="195"/>
      <c r="F62" s="195"/>
      <c r="G62" s="195"/>
      <c r="H62" s="195"/>
      <c r="I62" s="195"/>
      <c r="J62" s="195"/>
      <c r="K62" s="195"/>
      <c r="L62" s="195"/>
      <c r="M62" s="195"/>
      <c r="N62" s="195"/>
      <c r="O62" s="195"/>
      <c r="P62" s="195"/>
      <c r="Q62" s="195"/>
      <c r="R62" s="195"/>
      <c r="S62" s="195"/>
      <c r="T62" s="195"/>
      <c r="U62" s="287"/>
      <c r="V62" s="287"/>
      <c r="W62" s="411"/>
      <c r="X62" s="411"/>
      <c r="Y62" s="411"/>
      <c r="Z62" s="411"/>
      <c r="AA62" s="411"/>
      <c r="AB62" s="411"/>
      <c r="AC62" s="411"/>
      <c r="AD62" s="411"/>
      <c r="AE62" s="411"/>
      <c r="AF62" s="411"/>
      <c r="AG62" s="411"/>
      <c r="AI62" s="412" t="s">
        <v>297</v>
      </c>
      <c r="AJ62" s="427" t="e">
        <v>#REF!</v>
      </c>
      <c r="AK62" s="427" t="e">
        <v>#REF!</v>
      </c>
      <c r="AL62" s="427" t="e">
        <v>#REF!</v>
      </c>
      <c r="AM62" s="427" t="e">
        <v>#REF!</v>
      </c>
      <c r="AN62" s="412" t="e">
        <v>#REF!</v>
      </c>
      <c r="AO62" s="440" t="e">
        <f t="shared" si="1"/>
        <v>#REF!</v>
      </c>
      <c r="AU62" s="411"/>
      <c r="AV62" s="411"/>
      <c r="AW62" s="411"/>
      <c r="AX62" s="411"/>
      <c r="AY62" s="411"/>
      <c r="AZ62" s="287"/>
      <c r="BA62" s="287"/>
    </row>
    <row r="63" spans="1:53" s="412" customFormat="1" x14ac:dyDescent="0.3">
      <c r="A63" s="195"/>
      <c r="B63" s="195"/>
      <c r="C63" s="195"/>
      <c r="D63" s="195"/>
      <c r="E63" s="195"/>
      <c r="F63" s="195"/>
      <c r="G63" s="195"/>
      <c r="H63" s="195"/>
      <c r="I63" s="195"/>
      <c r="J63" s="195"/>
      <c r="K63" s="195"/>
      <c r="L63" s="195"/>
      <c r="M63" s="195"/>
      <c r="N63" s="195"/>
      <c r="O63" s="195"/>
      <c r="P63" s="195"/>
      <c r="Q63" s="195"/>
      <c r="R63" s="195"/>
      <c r="S63" s="195"/>
      <c r="T63" s="195"/>
      <c r="U63" s="287"/>
      <c r="V63" s="287"/>
      <c r="W63" s="411"/>
      <c r="X63" s="411"/>
      <c r="Y63" s="411"/>
      <c r="Z63" s="411"/>
      <c r="AA63" s="411"/>
      <c r="AB63" s="411"/>
      <c r="AC63" s="411"/>
      <c r="AD63" s="411"/>
      <c r="AE63" s="411"/>
      <c r="AF63" s="411"/>
      <c r="AG63" s="411"/>
      <c r="AI63" s="412" t="s">
        <v>299</v>
      </c>
      <c r="AJ63" s="427" t="e">
        <v>#REF!</v>
      </c>
      <c r="AK63" s="427" t="e">
        <v>#REF!</v>
      </c>
      <c r="AL63" s="427" t="e">
        <v>#REF!</v>
      </c>
      <c r="AM63" s="427" t="e">
        <v>#REF!</v>
      </c>
      <c r="AN63" s="412" t="e">
        <v>#REF!</v>
      </c>
      <c r="AO63" s="440" t="e">
        <f t="shared" si="1"/>
        <v>#REF!</v>
      </c>
      <c r="AU63" s="411"/>
      <c r="AV63" s="411"/>
      <c r="AW63" s="411"/>
      <c r="AX63" s="411"/>
      <c r="AY63" s="411"/>
      <c r="AZ63" s="287"/>
      <c r="BA63" s="287"/>
    </row>
    <row r="64" spans="1:53" s="412" customFormat="1" x14ac:dyDescent="0.3">
      <c r="A64" s="195"/>
      <c r="B64" s="195"/>
      <c r="C64" s="195"/>
      <c r="D64" s="195"/>
      <c r="E64" s="195"/>
      <c r="F64" s="195"/>
      <c r="G64" s="195"/>
      <c r="H64" s="195"/>
      <c r="I64" s="195"/>
      <c r="J64" s="195"/>
      <c r="K64" s="195"/>
      <c r="L64" s="195"/>
      <c r="M64" s="195"/>
      <c r="N64" s="195"/>
      <c r="O64" s="195"/>
      <c r="P64" s="195"/>
      <c r="Q64" s="195"/>
      <c r="R64" s="195"/>
      <c r="S64" s="195"/>
      <c r="T64" s="195"/>
      <c r="U64" s="287"/>
      <c r="V64" s="287"/>
      <c r="W64" s="411"/>
      <c r="X64" s="411"/>
      <c r="Y64" s="411"/>
      <c r="Z64" s="411"/>
      <c r="AA64" s="411"/>
      <c r="AB64" s="411"/>
      <c r="AC64" s="411"/>
      <c r="AD64" s="411"/>
      <c r="AE64" s="411"/>
      <c r="AF64" s="411"/>
      <c r="AG64" s="411"/>
      <c r="AI64" s="412" t="s">
        <v>301</v>
      </c>
      <c r="AJ64" s="427" t="e">
        <v>#REF!</v>
      </c>
      <c r="AK64" s="427" t="e">
        <v>#REF!</v>
      </c>
      <c r="AL64" s="427" t="e">
        <v>#REF!</v>
      </c>
      <c r="AM64" s="427" t="e">
        <v>#REF!</v>
      </c>
      <c r="AN64" s="412" t="e">
        <v>#REF!</v>
      </c>
      <c r="AO64" s="440" t="e">
        <f t="shared" si="1"/>
        <v>#REF!</v>
      </c>
      <c r="AU64" s="411"/>
      <c r="AV64" s="411"/>
      <c r="AW64" s="411"/>
      <c r="AX64" s="411"/>
      <c r="AY64" s="411"/>
      <c r="AZ64" s="287"/>
      <c r="BA64" s="287"/>
    </row>
    <row r="65" spans="1:53" s="411" customFormat="1" x14ac:dyDescent="0.3">
      <c r="A65" s="195"/>
      <c r="B65" s="195"/>
      <c r="C65" s="195"/>
      <c r="D65" s="195"/>
      <c r="E65" s="195"/>
      <c r="F65" s="195"/>
      <c r="G65" s="195"/>
      <c r="H65" s="195"/>
      <c r="I65" s="195"/>
      <c r="J65" s="195"/>
      <c r="K65" s="195"/>
      <c r="L65" s="195"/>
      <c r="M65" s="195"/>
      <c r="N65" s="195"/>
      <c r="O65" s="195"/>
      <c r="P65" s="195"/>
      <c r="Q65" s="195"/>
      <c r="R65" s="195"/>
      <c r="S65" s="195"/>
      <c r="T65" s="195"/>
      <c r="U65" s="287"/>
      <c r="V65" s="287"/>
      <c r="AH65" s="412"/>
      <c r="AI65" s="412" t="s">
        <v>746</v>
      </c>
      <c r="AJ65" s="427" t="e">
        <v>#REF!</v>
      </c>
      <c r="AK65" s="427" t="e">
        <v>#REF!</v>
      </c>
      <c r="AL65" s="427" t="e">
        <v>#REF!</v>
      </c>
      <c r="AM65" s="427" t="e">
        <v>#REF!</v>
      </c>
      <c r="AN65" s="412" t="e">
        <v>#REF!</v>
      </c>
      <c r="AO65" s="440" t="e">
        <f t="shared" si="1"/>
        <v>#REF!</v>
      </c>
      <c r="AP65" s="412"/>
      <c r="AQ65" s="412"/>
      <c r="AR65" s="412"/>
      <c r="AS65" s="412"/>
      <c r="AT65" s="412"/>
      <c r="AZ65" s="287"/>
      <c r="BA65" s="287"/>
    </row>
    <row r="66" spans="1:53" s="411" customFormat="1" x14ac:dyDescent="0.3">
      <c r="A66" s="195"/>
      <c r="B66" s="195"/>
      <c r="C66" s="195"/>
      <c r="D66" s="195"/>
      <c r="E66" s="195"/>
      <c r="F66" s="195"/>
      <c r="G66" s="195"/>
      <c r="H66" s="195"/>
      <c r="I66" s="195"/>
      <c r="J66" s="195"/>
      <c r="K66" s="195"/>
      <c r="L66" s="195"/>
      <c r="M66" s="195"/>
      <c r="N66" s="195"/>
      <c r="O66" s="195"/>
      <c r="P66" s="195"/>
      <c r="Q66" s="195"/>
      <c r="R66" s="195"/>
      <c r="S66" s="195"/>
      <c r="T66" s="195"/>
      <c r="U66" s="287"/>
      <c r="V66" s="287"/>
      <c r="AH66" s="412"/>
      <c r="AI66" s="412" t="s">
        <v>309</v>
      </c>
      <c r="AJ66" s="427" t="e">
        <v>#REF!</v>
      </c>
      <c r="AK66" s="427" t="e">
        <v>#REF!</v>
      </c>
      <c r="AL66" s="427" t="e">
        <v>#REF!</v>
      </c>
      <c r="AM66" s="427" t="e">
        <v>#REF!</v>
      </c>
      <c r="AN66" s="412" t="e">
        <v>#REF!</v>
      </c>
      <c r="AO66" s="440" t="e">
        <f>SUM(AJ66:AN66)</f>
        <v>#REF!</v>
      </c>
      <c r="AP66" s="412"/>
      <c r="AQ66" s="412"/>
      <c r="AR66" s="412"/>
      <c r="AS66" s="412"/>
      <c r="AT66" s="412"/>
      <c r="AZ66" s="287"/>
      <c r="BA66" s="287"/>
    </row>
    <row r="67" spans="1:53" s="287" customFormat="1" x14ac:dyDescent="0.3">
      <c r="AH67" s="197"/>
      <c r="AI67" s="411" t="s">
        <v>817</v>
      </c>
      <c r="AJ67" s="427" t="e">
        <v>#REF!</v>
      </c>
      <c r="AK67" s="427" t="e">
        <v>#REF!</v>
      </c>
      <c r="AL67" s="427" t="e">
        <v>#REF!</v>
      </c>
      <c r="AM67" s="427" t="e">
        <v>#REF!</v>
      </c>
      <c r="AN67" s="412" t="e">
        <v>#REF!</v>
      </c>
      <c r="AO67" s="440" t="e">
        <f>SUM(AJ67:AN67)</f>
        <v>#REF!</v>
      </c>
      <c r="AP67" s="197"/>
      <c r="AQ67" s="197"/>
      <c r="AR67" s="197"/>
      <c r="AS67" s="197"/>
      <c r="AT67" s="197"/>
    </row>
    <row r="68" spans="1:53" s="411" customFormat="1" x14ac:dyDescent="0.3">
      <c r="A68" s="195"/>
      <c r="B68" s="195"/>
      <c r="C68" s="195"/>
      <c r="D68" s="195"/>
      <c r="E68" s="195"/>
      <c r="F68" s="195"/>
      <c r="G68" s="195"/>
      <c r="H68" s="195"/>
      <c r="I68" s="195"/>
      <c r="J68" s="195"/>
      <c r="K68" s="195"/>
      <c r="L68" s="195"/>
      <c r="M68" s="195"/>
      <c r="N68" s="195"/>
      <c r="O68" s="195"/>
      <c r="P68" s="195"/>
      <c r="Q68" s="195"/>
      <c r="R68" s="195"/>
      <c r="S68" s="195"/>
      <c r="T68" s="195"/>
      <c r="U68" s="287"/>
      <c r="V68" s="287"/>
      <c r="AH68" s="412"/>
      <c r="AI68" s="412" t="s">
        <v>1137</v>
      </c>
      <c r="AJ68" s="427" t="e">
        <v>#REF!</v>
      </c>
      <c r="AK68" s="427" t="e">
        <v>#REF!</v>
      </c>
      <c r="AL68" s="427" t="e">
        <v>#REF!</v>
      </c>
      <c r="AM68" s="427" t="e">
        <v>#REF!</v>
      </c>
      <c r="AN68" s="412" t="e">
        <v>#REF!</v>
      </c>
      <c r="AO68" s="440" t="e">
        <f>SUM(AJ68:AN68)</f>
        <v>#REF!</v>
      </c>
      <c r="AP68" s="412"/>
      <c r="AQ68" s="412"/>
      <c r="AR68" s="412"/>
      <c r="AS68" s="412"/>
      <c r="AT68" s="412"/>
      <c r="AZ68" s="287"/>
      <c r="BA68" s="287"/>
    </row>
    <row r="69" spans="1:53" s="411" customFormat="1" x14ac:dyDescent="0.3">
      <c r="A69" s="195"/>
      <c r="B69" s="195"/>
      <c r="C69" s="195"/>
      <c r="D69" s="195"/>
      <c r="E69" s="195"/>
      <c r="F69" s="195"/>
      <c r="G69" s="195"/>
      <c r="H69" s="195"/>
      <c r="I69" s="195"/>
      <c r="J69" s="195"/>
      <c r="K69" s="195"/>
      <c r="L69" s="195"/>
      <c r="M69" s="195"/>
      <c r="N69" s="195"/>
      <c r="O69" s="195"/>
      <c r="P69" s="195"/>
      <c r="Q69" s="195"/>
      <c r="R69" s="195"/>
      <c r="S69" s="195"/>
      <c r="T69" s="195"/>
      <c r="U69" s="287"/>
      <c r="V69" s="287"/>
      <c r="AH69" s="412"/>
      <c r="AI69" s="412" t="s">
        <v>1201</v>
      </c>
      <c r="AJ69" s="427" t="e">
        <v>#REF!</v>
      </c>
      <c r="AK69" s="427" t="e">
        <v>#REF!</v>
      </c>
      <c r="AL69" s="427" t="e">
        <v>#REF!</v>
      </c>
      <c r="AM69" s="427" t="e">
        <v>#REF!</v>
      </c>
      <c r="AN69" s="412" t="e">
        <v>#REF!</v>
      </c>
      <c r="AO69" s="440" t="e">
        <f>SUM(AJ69:AN69)</f>
        <v>#REF!</v>
      </c>
      <c r="AP69" s="412"/>
      <c r="AQ69" s="412"/>
      <c r="AR69" s="412"/>
      <c r="AS69" s="412"/>
      <c r="AT69" s="412"/>
      <c r="AZ69" s="287"/>
      <c r="BA69" s="287"/>
    </row>
    <row r="70" spans="1:53" s="411" customFormat="1" x14ac:dyDescent="0.3">
      <c r="A70" s="195"/>
      <c r="B70" s="195"/>
      <c r="C70" s="195"/>
      <c r="D70" s="195"/>
      <c r="E70" s="195"/>
      <c r="F70" s="195"/>
      <c r="G70" s="195"/>
      <c r="H70" s="195"/>
      <c r="I70" s="195"/>
      <c r="J70" s="195"/>
      <c r="K70" s="195"/>
      <c r="L70" s="195"/>
      <c r="M70" s="195"/>
      <c r="N70" s="195"/>
      <c r="O70" s="195"/>
      <c r="P70" s="195"/>
      <c r="Q70" s="195"/>
      <c r="R70" s="195"/>
      <c r="S70" s="195"/>
      <c r="T70" s="195"/>
      <c r="U70" s="287"/>
      <c r="V70" s="287"/>
      <c r="AH70" s="412"/>
      <c r="AI70" s="412" t="s">
        <v>3</v>
      </c>
      <c r="AJ70" s="436" t="e">
        <f>SUM(AJ46:AJ69)</f>
        <v>#REF!</v>
      </c>
      <c r="AK70" s="436" t="e">
        <f>SUM(AK46:AK69)</f>
        <v>#REF!</v>
      </c>
      <c r="AL70" s="436" t="e">
        <f>SUM(AL46:AL69)</f>
        <v>#REF!</v>
      </c>
      <c r="AM70" s="436" t="e">
        <f>SUM(AM46:AM69)</f>
        <v>#REF!</v>
      </c>
      <c r="AN70" s="436" t="e">
        <f>SUM(AN46:AN69)</f>
        <v>#REF!</v>
      </c>
      <c r="AO70" s="440" t="e">
        <f>SUM(AJ70:AN70)</f>
        <v>#REF!</v>
      </c>
      <c r="AP70" s="412"/>
      <c r="AQ70" s="412"/>
      <c r="AR70" s="412"/>
      <c r="AS70" s="412"/>
      <c r="AT70" s="412"/>
      <c r="AZ70" s="287"/>
      <c r="BA70" s="287"/>
    </row>
    <row r="98" spans="1:53" s="411" customFormat="1" x14ac:dyDescent="0.3">
      <c r="A98" s="195"/>
      <c r="B98" s="195"/>
      <c r="C98" s="195"/>
      <c r="D98" s="195"/>
      <c r="E98" s="195"/>
      <c r="F98" s="195"/>
      <c r="G98" s="195"/>
      <c r="H98" s="195"/>
      <c r="I98" s="195"/>
      <c r="J98" s="195"/>
      <c r="K98" s="195"/>
      <c r="L98" s="195"/>
      <c r="M98" s="195"/>
      <c r="N98" s="195"/>
      <c r="O98" s="195"/>
      <c r="P98" s="195"/>
      <c r="Q98" s="195"/>
      <c r="R98" s="195"/>
      <c r="S98" s="195"/>
      <c r="T98" s="195"/>
      <c r="U98" s="287"/>
      <c r="V98" s="287"/>
      <c r="Y98" s="447"/>
      <c r="AA98" s="447"/>
      <c r="AH98" s="412"/>
      <c r="AI98" s="412"/>
      <c r="AJ98" s="412"/>
      <c r="AK98" s="412"/>
      <c r="AL98" s="412"/>
      <c r="AM98" s="412"/>
      <c r="AN98" s="412"/>
      <c r="AO98" s="412"/>
      <c r="AP98" s="412"/>
      <c r="AQ98" s="412"/>
      <c r="AR98" s="412"/>
      <c r="AS98" s="412"/>
      <c r="AT98" s="412"/>
      <c r="AZ98" s="287"/>
      <c r="BA98" s="287"/>
    </row>
    <row r="99" spans="1:53" s="411" customFormat="1" x14ac:dyDescent="0.3">
      <c r="A99" s="195"/>
      <c r="B99" s="195"/>
      <c r="C99" s="195"/>
      <c r="D99" s="195"/>
      <c r="E99" s="195"/>
      <c r="F99" s="195"/>
      <c r="G99" s="195"/>
      <c r="H99" s="195"/>
      <c r="I99" s="195"/>
      <c r="J99" s="195"/>
      <c r="K99" s="195"/>
      <c r="L99" s="195"/>
      <c r="M99" s="195"/>
      <c r="N99" s="195"/>
      <c r="O99" s="195"/>
      <c r="P99" s="195"/>
      <c r="Q99" s="195"/>
      <c r="R99" s="195"/>
      <c r="S99" s="195"/>
      <c r="T99" s="195"/>
      <c r="U99" s="287"/>
      <c r="V99" s="287"/>
      <c r="Y99" s="447"/>
      <c r="AH99" s="412"/>
      <c r="AI99" s="412"/>
      <c r="AJ99" s="412"/>
      <c r="AK99" s="412"/>
      <c r="AL99" s="412"/>
      <c r="AM99" s="412"/>
      <c r="AN99" s="412"/>
      <c r="AO99" s="412"/>
      <c r="AP99" s="412"/>
      <c r="AQ99" s="412"/>
      <c r="AR99" s="412"/>
      <c r="AS99" s="412"/>
      <c r="AT99" s="412"/>
      <c r="AZ99" s="287"/>
      <c r="BA99" s="287"/>
    </row>
    <row r="100" spans="1:53" s="411" customFormat="1" x14ac:dyDescent="0.3">
      <c r="A100" s="195"/>
      <c r="B100" s="195"/>
      <c r="C100" s="195"/>
      <c r="D100" s="195"/>
      <c r="E100" s="195"/>
      <c r="F100" s="195"/>
      <c r="G100" s="195"/>
      <c r="H100" s="195"/>
      <c r="I100" s="195"/>
      <c r="J100" s="195"/>
      <c r="K100" s="195"/>
      <c r="L100" s="195"/>
      <c r="M100" s="195"/>
      <c r="N100" s="195"/>
      <c r="O100" s="195"/>
      <c r="P100" s="195"/>
      <c r="Q100" s="195"/>
      <c r="R100" s="195"/>
      <c r="S100" s="195"/>
      <c r="T100" s="195"/>
      <c r="U100" s="287"/>
      <c r="V100" s="287"/>
      <c r="Y100" s="447"/>
      <c r="AH100" s="412"/>
      <c r="AI100" s="412"/>
      <c r="AJ100" s="412"/>
      <c r="AK100" s="412"/>
      <c r="AL100" s="412"/>
      <c r="AM100" s="412"/>
      <c r="AN100" s="412"/>
      <c r="AO100" s="412"/>
      <c r="AP100" s="412"/>
      <c r="AQ100" s="412"/>
      <c r="AR100" s="412"/>
      <c r="AS100" s="412"/>
      <c r="AT100" s="412"/>
      <c r="AZ100" s="287"/>
      <c r="BA100" s="287"/>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09375" defaultRowHeight="12" customHeight="1" x14ac:dyDescent="0.4"/>
  <cols>
    <col min="1" max="1" width="12.6640625" style="3" customWidth="1"/>
    <col min="2" max="2" width="12.33203125" style="3" customWidth="1"/>
    <col min="3" max="4" width="8.5546875" style="3" customWidth="1"/>
    <col min="5" max="5" width="9.44140625" style="3" customWidth="1"/>
    <col min="6" max="6" width="9.88671875" style="3" customWidth="1"/>
    <col min="7" max="7" width="8.109375" style="3" customWidth="1"/>
    <col min="8" max="8" width="8.44140625" style="3" customWidth="1"/>
    <col min="9" max="10" width="7.109375" style="3" customWidth="1"/>
    <col min="11" max="11" width="10.44140625" style="3" bestFit="1" customWidth="1"/>
    <col min="12" max="12" width="5.5546875" style="3" bestFit="1" customWidth="1"/>
    <col min="13" max="18" width="4.33203125" style="3" customWidth="1"/>
    <col min="19" max="19" width="39.33203125" style="3" customWidth="1"/>
    <col min="20" max="20" width="27.5546875" style="50" customWidth="1"/>
    <col min="21" max="21" width="19.33203125" style="50" customWidth="1"/>
    <col min="22" max="23" width="9.33203125" style="50" customWidth="1"/>
    <col min="24" max="24" width="15" style="50" customWidth="1"/>
    <col min="25" max="25" width="15.5546875" style="50" customWidth="1"/>
    <col min="26" max="26" width="17.33203125" style="50" customWidth="1"/>
    <col min="27" max="27" width="24.6640625" style="50" customWidth="1"/>
    <col min="28" max="30" width="9.33203125" style="50" customWidth="1"/>
    <col min="31" max="31" width="11.33203125" style="50" customWidth="1"/>
    <col min="32" max="32" width="12.109375" style="50" customWidth="1"/>
    <col min="33" max="33" width="13" style="50" customWidth="1"/>
    <col min="34" max="34" width="14.44140625" style="3" customWidth="1"/>
    <col min="35" max="35" width="19.33203125" style="3" bestFit="1" customWidth="1"/>
    <col min="36" max="36" width="27.88671875" style="3" bestFit="1" customWidth="1"/>
    <col min="37" max="95" width="14.44140625" style="3" customWidth="1"/>
    <col min="96" max="107" width="14.44140625" style="5" customWidth="1"/>
    <col min="108" max="108" width="12.6640625" style="5" customWidth="1"/>
    <col min="109" max="109" width="9.109375" style="5"/>
    <col min="110" max="110" width="11.44140625" style="5" customWidth="1"/>
    <col min="111" max="111" width="6.109375" style="3" customWidth="1"/>
    <col min="112" max="112" width="5.88671875" style="3" customWidth="1"/>
    <col min="113" max="16384" width="9.109375" style="3"/>
  </cols>
  <sheetData>
    <row r="1" spans="15:110" ht="18.75" customHeight="1" thickBot="1" x14ac:dyDescent="0.45">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4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67" t="s">
        <v>412</v>
      </c>
      <c r="AJ2" s="467" t="s">
        <v>1453</v>
      </c>
      <c r="CR2" s="3"/>
      <c r="CS2" s="3"/>
      <c r="CT2" s="3"/>
      <c r="CU2" s="3"/>
      <c r="CV2" s="3"/>
      <c r="CW2" s="3"/>
      <c r="CX2" s="3"/>
      <c r="CY2" s="3"/>
      <c r="CZ2" s="3"/>
      <c r="DA2" s="3"/>
      <c r="DB2" s="3"/>
      <c r="DC2" s="3"/>
      <c r="DD2" s="3"/>
      <c r="DE2" s="3"/>
      <c r="DF2" s="3"/>
    </row>
    <row r="3" spans="15:110" ht="18.75" customHeight="1" x14ac:dyDescent="0.5">
      <c r="O3" s="5"/>
      <c r="P3" s="5"/>
      <c r="S3" s="5">
        <v>600</v>
      </c>
      <c r="T3" s="60" t="s">
        <v>483</v>
      </c>
      <c r="U3" s="61" t="s">
        <v>5</v>
      </c>
      <c r="V3" s="60">
        <v>97.12</v>
      </c>
      <c r="W3" s="61">
        <v>24.3</v>
      </c>
      <c r="X3" s="61">
        <f>'CCCM Dashboard'!C15</f>
        <v>1480</v>
      </c>
      <c r="Y3" s="463">
        <f>'CCCM Dashboard'!$D$15</f>
        <v>8307</v>
      </c>
      <c r="Z3" s="62" t="str">
        <f>CONCATENATE(AG2," cp",IF(AG2&gt;1,"s",""))</f>
        <v>Column1 cps</v>
      </c>
      <c r="AA3" s="202" t="e">
        <f>#REF!</f>
        <v>#REF!</v>
      </c>
      <c r="AB3" s="63">
        <v>0</v>
      </c>
      <c r="AC3" s="63">
        <v>0</v>
      </c>
      <c r="AD3" s="63">
        <v>0</v>
      </c>
      <c r="AE3" s="64">
        <f>$S$3-ROUND((W3-$S$1)*$S$5,0)</f>
        <v>496</v>
      </c>
      <c r="AF3" s="65">
        <f t="shared" ref="AF3:AF25" si="0">ROUND((V3-$S$2)*$S$5,0)+$S$4</f>
        <v>181</v>
      </c>
      <c r="AG3" s="66">
        <f>'CCCM Dashboard'!E15</f>
        <v>11</v>
      </c>
      <c r="AI3" s="463">
        <f>'CCCM Dashboard'!$D$15</f>
        <v>8307</v>
      </c>
      <c r="AJ3" s="492">
        <f>COUNTIFS('NFI Distributions'!$B$6:$B$280,"&gt;5/1/2017",'NFI Distributions'!$G$6:$G$280,Table58[[#This Row],[Township]])</f>
        <v>20</v>
      </c>
      <c r="AK3" s="466"/>
      <c r="CR3" s="3"/>
      <c r="CS3" s="3"/>
      <c r="CT3" s="3"/>
      <c r="CU3" s="3"/>
      <c r="CV3" s="3"/>
      <c r="CW3" s="3"/>
      <c r="CX3" s="3"/>
      <c r="CY3" s="3"/>
      <c r="CZ3" s="3"/>
      <c r="DA3" s="3"/>
      <c r="DB3" s="3"/>
      <c r="DC3" s="3"/>
      <c r="DD3" s="3"/>
      <c r="DE3" s="3"/>
      <c r="DF3" s="3"/>
    </row>
    <row r="4" spans="15:110" ht="18.75" customHeight="1" x14ac:dyDescent="0.5">
      <c r="O4" s="5"/>
      <c r="P4" s="5"/>
      <c r="S4" s="5">
        <v>100</v>
      </c>
      <c r="T4" s="67" t="s">
        <v>487</v>
      </c>
      <c r="U4" s="61" t="s">
        <v>27</v>
      </c>
      <c r="V4" s="67">
        <v>98.322799999999987</v>
      </c>
      <c r="W4" s="61">
        <v>25.917999999999999</v>
      </c>
      <c r="X4" s="61">
        <f>'CCCM Dashboard'!C16</f>
        <v>497</v>
      </c>
      <c r="Y4" s="464">
        <f>'CCCM Dashboard'!$D$16</f>
        <v>2471</v>
      </c>
      <c r="Z4" s="62" t="str">
        <f t="shared" ref="Z4:Z25" si="1">CONCATENATE(AG3," cp",IF(AG3&gt;1,"s",""))</f>
        <v>11 cps</v>
      </c>
      <c r="AA4" s="202" t="e">
        <f>#REF!</f>
        <v>#REF!</v>
      </c>
      <c r="AB4" s="63">
        <v>1</v>
      </c>
      <c r="AC4" s="63">
        <v>0</v>
      </c>
      <c r="AD4" s="63">
        <v>0.95387840670859536</v>
      </c>
      <c r="AE4" s="64">
        <f t="shared" ref="AE4:AE25" si="2">$S$3-ROUND((W4-$S$1)*$S$5,0)</f>
        <v>286</v>
      </c>
      <c r="AF4" s="65">
        <f t="shared" si="0"/>
        <v>337</v>
      </c>
      <c r="AG4" s="66">
        <f>'CCCM Dashboard'!E16</f>
        <v>5</v>
      </c>
      <c r="AI4" s="464">
        <f>'CCCM Dashboard'!$D$16</f>
        <v>2471</v>
      </c>
      <c r="AJ4" s="492">
        <f>COUNTIFS('NFI Distributions'!$B$6:$B$280,"&gt;5/1/2017",'NFI Distributions'!$G$6:$G$280,Table58[[#This Row],[Township]])</f>
        <v>6</v>
      </c>
      <c r="AK4" s="466"/>
      <c r="CR4" s="3"/>
      <c r="CS4" s="3"/>
      <c r="CT4" s="3"/>
      <c r="CU4" s="3"/>
      <c r="CV4" s="3"/>
      <c r="CW4" s="3"/>
      <c r="CX4" s="3"/>
      <c r="CY4" s="3"/>
      <c r="CZ4" s="3"/>
      <c r="DA4" s="3"/>
      <c r="DB4" s="3"/>
      <c r="DC4" s="3"/>
      <c r="DD4" s="3"/>
      <c r="DE4" s="3"/>
      <c r="DF4" s="3"/>
    </row>
    <row r="5" spans="15:110" ht="18.75" customHeight="1" x14ac:dyDescent="0.5">
      <c r="O5" s="5"/>
      <c r="P5" s="5"/>
      <c r="S5" s="5">
        <v>130</v>
      </c>
      <c r="T5" s="60" t="s">
        <v>481</v>
      </c>
      <c r="U5" s="61" t="s">
        <v>480</v>
      </c>
      <c r="V5" s="60">
        <v>96.373750000000001</v>
      </c>
      <c r="W5" s="61">
        <v>25.9</v>
      </c>
      <c r="X5" s="61">
        <f>'CCCM Dashboard'!C17</f>
        <v>706</v>
      </c>
      <c r="Y5" s="463">
        <f>'CCCM Dashboard'!$D$17</f>
        <v>3587</v>
      </c>
      <c r="Z5" s="62" t="str">
        <f t="shared" si="1"/>
        <v>5 cps</v>
      </c>
      <c r="AA5" s="202" t="e">
        <f>#REF!</f>
        <v>#REF!</v>
      </c>
      <c r="AB5" s="63">
        <v>0.69172932330827064</v>
      </c>
      <c r="AC5" s="63">
        <v>0</v>
      </c>
      <c r="AD5" s="63">
        <v>1</v>
      </c>
      <c r="AE5" s="64">
        <f t="shared" si="2"/>
        <v>288</v>
      </c>
      <c r="AF5" s="65">
        <f t="shared" si="0"/>
        <v>84</v>
      </c>
      <c r="AG5" s="66">
        <f>'CCCM Dashboard'!E17</f>
        <v>21</v>
      </c>
      <c r="AI5" s="463">
        <f>'CCCM Dashboard'!$D$17</f>
        <v>3587</v>
      </c>
      <c r="AJ5" s="492">
        <f>COUNTIFS('NFI Distributions'!$B$6:$B$280,"&gt;5/1/2017",'NFI Distributions'!$G$6:$G$280,Table58[[#This Row],[Township]])</f>
        <v>4</v>
      </c>
      <c r="AK5" s="466"/>
      <c r="CR5" s="3"/>
      <c r="CS5" s="3"/>
      <c r="CT5" s="3"/>
      <c r="CU5" s="3"/>
      <c r="CV5" s="3"/>
      <c r="CW5" s="3"/>
      <c r="CX5" s="3"/>
      <c r="CY5" s="3"/>
      <c r="CZ5" s="3"/>
      <c r="DA5" s="3"/>
      <c r="DB5" s="3"/>
      <c r="DC5" s="3"/>
      <c r="DD5" s="3"/>
      <c r="DE5" s="3"/>
      <c r="DF5" s="3"/>
    </row>
    <row r="6" spans="15:110" ht="18.75" customHeight="1" x14ac:dyDescent="0.5">
      <c r="O6" s="5"/>
      <c r="P6" s="5"/>
      <c r="T6" s="67" t="s">
        <v>720</v>
      </c>
      <c r="U6" s="61" t="s">
        <v>719</v>
      </c>
      <c r="V6" s="68">
        <v>98.1</v>
      </c>
      <c r="W6" s="69">
        <v>23.28</v>
      </c>
      <c r="X6" s="61">
        <f>'CCCM Dashboard'!C33</f>
        <v>99</v>
      </c>
      <c r="Y6" s="464">
        <f>'CCCM Dashboard'!$D$33</f>
        <v>559</v>
      </c>
      <c r="Z6" s="62" t="str">
        <f t="shared" si="1"/>
        <v>21 cps</v>
      </c>
      <c r="AA6" s="202" t="e">
        <f>#REF!</f>
        <v>#REF!</v>
      </c>
      <c r="AB6" s="63"/>
      <c r="AC6" s="63"/>
      <c r="AD6" s="63"/>
      <c r="AE6" s="64">
        <f t="shared" si="2"/>
        <v>629</v>
      </c>
      <c r="AF6" s="65">
        <f t="shared" si="0"/>
        <v>308</v>
      </c>
      <c r="AG6" s="66">
        <f>'CCCM Dashboard'!E33</f>
        <v>2</v>
      </c>
      <c r="AI6" s="464">
        <f>'CCCM Dashboard'!$D$33</f>
        <v>559</v>
      </c>
      <c r="AJ6" s="492">
        <f>COUNTIFS('NFI Distributions'!$B$6:$B$280,"&gt;5/1/2017",'NFI Distributions'!$G$6:$G$280,Table58[[#This Row],[Township]])</f>
        <v>3</v>
      </c>
      <c r="AK6" s="466"/>
      <c r="CR6" s="3"/>
      <c r="CS6" s="3"/>
      <c r="CT6" s="3"/>
      <c r="CU6" s="3"/>
      <c r="CV6" s="3"/>
      <c r="CW6" s="3"/>
      <c r="CX6" s="3"/>
      <c r="CY6" s="3"/>
      <c r="CZ6" s="3"/>
      <c r="DA6" s="3"/>
      <c r="DB6" s="3"/>
      <c r="DC6" s="3"/>
      <c r="DD6" s="3"/>
      <c r="DE6" s="3"/>
      <c r="DF6" s="3"/>
    </row>
    <row r="7" spans="15:110" ht="18.75" customHeight="1" x14ac:dyDescent="0.5">
      <c r="O7" s="138"/>
      <c r="P7" s="138"/>
      <c r="T7" s="313" t="s">
        <v>1202</v>
      </c>
      <c r="U7" s="314" t="s">
        <v>1201</v>
      </c>
      <c r="V7" s="315">
        <v>97.298102999999998</v>
      </c>
      <c r="W7" s="316">
        <v>22.618938</v>
      </c>
      <c r="X7" s="61">
        <f>'CCCM Dashboard'!C38</f>
        <v>37</v>
      </c>
      <c r="Y7" s="463">
        <f>'CCCM Dashboard'!$D$38</f>
        <v>120</v>
      </c>
      <c r="Z7" s="62" t="str">
        <f t="shared" si="1"/>
        <v>2 cps</v>
      </c>
      <c r="AA7" s="202" t="e">
        <f>#REF!</f>
        <v>#REF!</v>
      </c>
      <c r="AB7" s="317"/>
      <c r="AC7" s="317"/>
      <c r="AD7" s="317"/>
      <c r="AE7" s="318">
        <f>$S$3-ROUND((W7-$S$1)*$S$5,0)</f>
        <v>715</v>
      </c>
      <c r="AF7" s="319">
        <f t="shared" si="0"/>
        <v>204</v>
      </c>
      <c r="AG7" s="66">
        <f>'CCCM Dashboard'!E38</f>
        <v>1</v>
      </c>
      <c r="AI7" s="463">
        <f>'CCCM Dashboard'!$D$38</f>
        <v>120</v>
      </c>
      <c r="AJ7" s="492">
        <f>COUNTIFS('NFI Distributions'!$B$6:$B$280,"&gt;5/1/2017",'NFI Distributions'!$G$6:$G$280,Table58[[#This Row],[Township]])</f>
        <v>0</v>
      </c>
      <c r="AK7" s="466"/>
      <c r="CR7" s="3"/>
      <c r="CS7" s="3"/>
      <c r="CT7" s="3"/>
      <c r="CU7" s="3"/>
      <c r="CV7" s="3"/>
      <c r="CW7" s="3"/>
      <c r="CX7" s="3"/>
      <c r="CY7" s="3"/>
      <c r="CZ7" s="3"/>
      <c r="DA7" s="3"/>
      <c r="DB7" s="3"/>
      <c r="DC7" s="3"/>
      <c r="DD7" s="3"/>
      <c r="DE7" s="3"/>
      <c r="DF7" s="3"/>
    </row>
    <row r="8" spans="15:110" ht="18.75" customHeight="1" x14ac:dyDescent="0.5">
      <c r="O8" s="5"/>
      <c r="P8" s="5"/>
      <c r="T8" s="67" t="s">
        <v>501</v>
      </c>
      <c r="U8" s="61" t="s">
        <v>361</v>
      </c>
      <c r="V8" s="67">
        <v>97.89587301587305</v>
      </c>
      <c r="W8" s="61">
        <v>26.232698412698419</v>
      </c>
      <c r="X8" s="61">
        <f>'CCCM Dashboard'!C18</f>
        <v>0</v>
      </c>
      <c r="Y8" s="464">
        <f>'CCCM Dashboard'!$D$18</f>
        <v>0</v>
      </c>
      <c r="Z8" s="62" t="str">
        <f t="shared" si="1"/>
        <v>1 cp</v>
      </c>
      <c r="AA8" s="202" t="e">
        <f>#REF!</f>
        <v>#REF!</v>
      </c>
      <c r="AB8" s="63">
        <v>0</v>
      </c>
      <c r="AC8" s="63">
        <v>0</v>
      </c>
      <c r="AD8" s="63">
        <v>0</v>
      </c>
      <c r="AE8" s="64">
        <f>$S$3-ROUND((W8-$S$1)*$S$5,0)</f>
        <v>245</v>
      </c>
      <c r="AF8" s="65">
        <f t="shared" si="0"/>
        <v>281</v>
      </c>
      <c r="AG8" s="66">
        <f>'CCCM Dashboard'!E18</f>
        <v>0</v>
      </c>
      <c r="AI8" s="464">
        <f>'CCCM Dashboard'!$D$18</f>
        <v>0</v>
      </c>
      <c r="AJ8" s="492">
        <f>COUNTIFS('NFI Distributions'!$B$6:$B$280,"&gt;5/1/2017",'NFI Distributions'!$G$6:$G$280,Table58[[#This Row],[Township]])</f>
        <v>0</v>
      </c>
      <c r="AK8" s="466"/>
      <c r="CR8" s="3"/>
      <c r="CS8" s="3"/>
      <c r="CT8" s="3"/>
      <c r="CU8" s="3"/>
      <c r="CV8" s="3"/>
      <c r="CW8" s="3"/>
      <c r="CX8" s="3"/>
      <c r="CY8" s="3"/>
      <c r="CZ8" s="3"/>
      <c r="DA8" s="3"/>
      <c r="DB8" s="3"/>
      <c r="DC8" s="3"/>
      <c r="DD8" s="3"/>
      <c r="DE8" s="3"/>
      <c r="DF8" s="3"/>
    </row>
    <row r="9" spans="15:110" ht="18.75" customHeight="1" x14ac:dyDescent="0.5">
      <c r="O9" s="5"/>
      <c r="P9" s="5"/>
      <c r="T9" s="60" t="s">
        <v>500</v>
      </c>
      <c r="U9" s="61" t="s">
        <v>144</v>
      </c>
      <c r="V9" s="60">
        <v>98.438571428571422</v>
      </c>
      <c r="W9" s="61">
        <v>27.1</v>
      </c>
      <c r="X9" s="61">
        <f>'CCCM Dashboard'!C19</f>
        <v>0</v>
      </c>
      <c r="Y9" s="463">
        <f>'CCCM Dashboard'!$D$19</f>
        <v>0</v>
      </c>
      <c r="Z9" s="62" t="str">
        <f t="shared" si="1"/>
        <v>0 cp</v>
      </c>
      <c r="AA9" s="202" t="e">
        <f>#REF!</f>
        <v>#REF!</v>
      </c>
      <c r="AB9" s="63">
        <v>0</v>
      </c>
      <c r="AC9" s="63">
        <v>0</v>
      </c>
      <c r="AD9" s="63">
        <v>0</v>
      </c>
      <c r="AE9" s="64">
        <f t="shared" si="2"/>
        <v>132</v>
      </c>
      <c r="AF9" s="65">
        <f t="shared" si="0"/>
        <v>352</v>
      </c>
      <c r="AG9" s="66">
        <f>'CCCM Dashboard'!E19</f>
        <v>0</v>
      </c>
      <c r="AI9" s="463">
        <f>'CCCM Dashboard'!$D$19</f>
        <v>0</v>
      </c>
      <c r="AJ9" s="492">
        <f>COUNTIFS('NFI Distributions'!$B$6:$B$280,"&gt;5/1/2017",'NFI Distributions'!$G$6:$G$280,Table58[[#This Row],[Township]])</f>
        <v>0</v>
      </c>
      <c r="AK9" s="466"/>
      <c r="CR9" s="3"/>
      <c r="CS9" s="3"/>
      <c r="CT9" s="3"/>
      <c r="CU9" s="3"/>
      <c r="CV9" s="3"/>
      <c r="CW9" s="3"/>
      <c r="CX9" s="3"/>
      <c r="CY9" s="3"/>
      <c r="CZ9" s="3"/>
      <c r="DA9" s="3"/>
      <c r="DB9" s="3"/>
      <c r="DC9" s="3"/>
      <c r="DD9" s="3"/>
      <c r="DE9" s="3"/>
      <c r="DF9" s="3"/>
    </row>
    <row r="10" spans="15:110" ht="18.75" customHeight="1" x14ac:dyDescent="0.4">
      <c r="O10" s="5"/>
      <c r="P10" s="5"/>
      <c r="T10" s="67" t="s">
        <v>497</v>
      </c>
      <c r="U10" s="61" t="s">
        <v>146</v>
      </c>
      <c r="V10" s="67">
        <v>98.1</v>
      </c>
      <c r="W10" s="61">
        <v>23.553031914893619</v>
      </c>
      <c r="X10" s="61">
        <f>'CCCM Dashboard'!C34</f>
        <v>867</v>
      </c>
      <c r="Y10" s="464">
        <f>'CCCM Dashboard'!$D$34</f>
        <v>4193</v>
      </c>
      <c r="Z10" s="62" t="str">
        <f t="shared" si="1"/>
        <v>0 cp</v>
      </c>
      <c r="AA10" s="202" t="e">
        <f>#REF!</f>
        <v>#REF!</v>
      </c>
      <c r="AB10" s="63">
        <v>0</v>
      </c>
      <c r="AC10" s="63">
        <v>0</v>
      </c>
      <c r="AD10" s="63">
        <v>1</v>
      </c>
      <c r="AE10" s="64">
        <f>$S$3-ROUND((W10-$S$1)*$S$5,0)</f>
        <v>593</v>
      </c>
      <c r="AF10" s="65">
        <f t="shared" si="0"/>
        <v>308</v>
      </c>
      <c r="AG10" s="66">
        <f>'CCCM Dashboard'!E34</f>
        <v>14</v>
      </c>
      <c r="AI10" s="464">
        <f>'CCCM Dashboard'!$D$34</f>
        <v>4193</v>
      </c>
      <c r="AJ10" s="492">
        <f>COUNTIFS('NFI Distributions'!$B$6:$B$280,"&gt;5/1/2017",'NFI Distributions'!$G$6:$G$280,Table58[[#This Row],[Township]])</f>
        <v>4</v>
      </c>
      <c r="CR10" s="3"/>
      <c r="CS10" s="3"/>
      <c r="CT10" s="3"/>
      <c r="CU10" s="3"/>
      <c r="CV10" s="3"/>
      <c r="CW10" s="3"/>
      <c r="CX10" s="3"/>
      <c r="CY10" s="3"/>
      <c r="CZ10" s="3"/>
      <c r="DA10" s="3"/>
      <c r="DB10" s="3"/>
      <c r="DC10" s="3"/>
      <c r="DD10" s="3"/>
      <c r="DE10" s="3"/>
      <c r="DF10" s="3"/>
    </row>
    <row r="11" spans="15:110" ht="18.75" customHeight="1" x14ac:dyDescent="0.4">
      <c r="O11" s="5"/>
      <c r="P11" s="5"/>
      <c r="T11" s="67" t="s">
        <v>818</v>
      </c>
      <c r="U11" s="61" t="s">
        <v>817</v>
      </c>
      <c r="V11" s="68">
        <v>97.88</v>
      </c>
      <c r="W11" s="69">
        <v>27.2</v>
      </c>
      <c r="X11" s="61">
        <f>'CCCM Dashboard'!C20</f>
        <v>0</v>
      </c>
      <c r="Y11" s="463">
        <f>'CCCM Dashboard'!$D$20</f>
        <v>0</v>
      </c>
      <c r="Z11" s="62" t="str">
        <f t="shared" si="1"/>
        <v>14 cps</v>
      </c>
      <c r="AA11" s="202" t="e">
        <f>#REF!</f>
        <v>#REF!</v>
      </c>
      <c r="AB11" s="63"/>
      <c r="AC11" s="63"/>
      <c r="AD11" s="63"/>
      <c r="AE11" s="64">
        <f>$S$3-ROUND((W11-$S$1)*$S$5,0)</f>
        <v>119</v>
      </c>
      <c r="AF11" s="65">
        <f t="shared" si="0"/>
        <v>279</v>
      </c>
      <c r="AG11" s="66">
        <f>'CCCM Dashboard'!E20</f>
        <v>0</v>
      </c>
      <c r="AI11" s="463">
        <f>'CCCM Dashboard'!$D$20</f>
        <v>0</v>
      </c>
      <c r="AJ11" s="492">
        <f>COUNTIFS('NFI Distributions'!$B$6:$B$280,"&gt;5/1/2017",'NFI Distributions'!$G$6:$G$280,Table58[[#This Row],[Township]])</f>
        <v>0</v>
      </c>
      <c r="CR11" s="3"/>
      <c r="CS11" s="3"/>
      <c r="CT11" s="3"/>
      <c r="CU11" s="3"/>
      <c r="CV11" s="3"/>
      <c r="CW11" s="3"/>
      <c r="CX11" s="3"/>
      <c r="CY11" s="3"/>
      <c r="CZ11" s="3"/>
      <c r="DA11" s="3"/>
      <c r="DB11" s="3"/>
      <c r="DC11" s="3"/>
      <c r="DD11" s="3"/>
      <c r="DE11" s="3"/>
      <c r="DF11" s="3"/>
    </row>
    <row r="12" spans="15:110" ht="18.75" customHeight="1" x14ac:dyDescent="0.4">
      <c r="O12" s="5"/>
      <c r="P12" s="5"/>
      <c r="T12" s="60" t="s">
        <v>492</v>
      </c>
      <c r="U12" s="61" t="s">
        <v>151</v>
      </c>
      <c r="V12" s="60">
        <v>97.372845528455244</v>
      </c>
      <c r="W12" s="61">
        <v>24</v>
      </c>
      <c r="X12" s="61">
        <f>'CCCM Dashboard'!C21</f>
        <v>2833</v>
      </c>
      <c r="Y12" s="464">
        <f>'CCCM Dashboard'!$D$21</f>
        <v>13390</v>
      </c>
      <c r="Z12" s="62" t="str">
        <f t="shared" si="1"/>
        <v>0 cp</v>
      </c>
      <c r="AA12" s="202" t="e">
        <f>#REF!</f>
        <v>#REF!</v>
      </c>
      <c r="AB12" s="63">
        <v>0</v>
      </c>
      <c r="AC12" s="63">
        <v>0</v>
      </c>
      <c r="AD12" s="63">
        <v>0</v>
      </c>
      <c r="AE12" s="64">
        <f t="shared" si="2"/>
        <v>535</v>
      </c>
      <c r="AF12" s="65">
        <f t="shared" si="0"/>
        <v>213</v>
      </c>
      <c r="AG12" s="66">
        <f>'CCCM Dashboard'!E21</f>
        <v>11</v>
      </c>
      <c r="AI12" s="464">
        <f>'CCCM Dashboard'!$D$21</f>
        <v>13390</v>
      </c>
      <c r="AJ12" s="492">
        <f>COUNTIFS('NFI Distributions'!$B$6:$B$280,"&gt;5/1/2017",'NFI Distributions'!$G$6:$G$280,Table58[[#This Row],[Township]])</f>
        <v>21</v>
      </c>
      <c r="CR12" s="3"/>
      <c r="CS12" s="3"/>
      <c r="CT12" s="3"/>
      <c r="CU12" s="3"/>
      <c r="CV12" s="3"/>
      <c r="CW12" s="3"/>
      <c r="CX12" s="3"/>
      <c r="CY12" s="3"/>
      <c r="CZ12" s="3"/>
      <c r="DA12" s="3"/>
      <c r="DB12" s="3"/>
      <c r="DC12" s="3"/>
      <c r="DD12" s="3"/>
      <c r="DE12" s="3"/>
      <c r="DF12" s="3"/>
    </row>
    <row r="13" spans="15:110" ht="18.75" customHeight="1" x14ac:dyDescent="0.4">
      <c r="O13" s="5"/>
      <c r="P13" s="5"/>
      <c r="T13" s="67" t="s">
        <v>496</v>
      </c>
      <c r="U13" s="61" t="s">
        <v>166</v>
      </c>
      <c r="V13" s="67">
        <v>97.266347826086943</v>
      </c>
      <c r="W13" s="61">
        <v>23.345826086956535</v>
      </c>
      <c r="X13" s="61">
        <f>'CCCM Dashboard'!C35</f>
        <v>98</v>
      </c>
      <c r="Y13" s="463">
        <f>'CCCM Dashboard'!$D$35</f>
        <v>541</v>
      </c>
      <c r="Z13" s="62" t="str">
        <f t="shared" si="1"/>
        <v>11 cps</v>
      </c>
      <c r="AA13" s="202" t="e">
        <f>#REF!</f>
        <v>#REF!</v>
      </c>
      <c r="AB13" s="63">
        <v>0</v>
      </c>
      <c r="AC13" s="63">
        <v>0</v>
      </c>
      <c r="AD13" s="63">
        <v>0</v>
      </c>
      <c r="AE13" s="64">
        <f>$S$3-ROUND((W13-$S$1)*$S$5,0)</f>
        <v>620</v>
      </c>
      <c r="AF13" s="65">
        <f t="shared" si="0"/>
        <v>200</v>
      </c>
      <c r="AG13" s="66">
        <f>'CCCM Dashboard'!E35</f>
        <v>3</v>
      </c>
      <c r="AI13" s="463">
        <f>'CCCM Dashboard'!$D$35</f>
        <v>541</v>
      </c>
      <c r="AJ13" s="492">
        <f>COUNTIFS('NFI Distributions'!$B$6:$B$280,"&gt;5/1/2017",'NFI Distributions'!$G$6:$G$280,Table58[[#This Row],[Township]])</f>
        <v>0</v>
      </c>
      <c r="CR13" s="3"/>
      <c r="CS13" s="3"/>
      <c r="CT13" s="3"/>
      <c r="CU13" s="3"/>
      <c r="CV13" s="3"/>
      <c r="CW13" s="3"/>
      <c r="CX13" s="3"/>
      <c r="CY13" s="3"/>
      <c r="CZ13" s="3"/>
      <c r="DA13" s="3"/>
      <c r="DB13" s="3"/>
      <c r="DC13" s="3"/>
      <c r="DD13" s="3"/>
      <c r="DE13" s="3"/>
      <c r="DF13" s="3"/>
    </row>
    <row r="14" spans="15:110" ht="18.75" customHeight="1" x14ac:dyDescent="0.4">
      <c r="O14" s="5"/>
      <c r="P14" s="5"/>
      <c r="T14" s="60" t="s">
        <v>498</v>
      </c>
      <c r="U14" s="61" t="s">
        <v>173</v>
      </c>
      <c r="V14" s="60">
        <v>96.9</v>
      </c>
      <c r="W14" s="61">
        <v>25.4</v>
      </c>
      <c r="X14" s="61">
        <f>'CCCM Dashboard'!C22</f>
        <v>343</v>
      </c>
      <c r="Y14" s="464">
        <f>'CCCM Dashboard'!$D$22</f>
        <v>1465</v>
      </c>
      <c r="Z14" s="62" t="str">
        <f t="shared" si="1"/>
        <v>3 cps</v>
      </c>
      <c r="AA14" s="202" t="e">
        <f>#REF!</f>
        <v>#REF!</v>
      </c>
      <c r="AB14" s="63">
        <v>0</v>
      </c>
      <c r="AC14" s="63">
        <v>0</v>
      </c>
      <c r="AD14" s="63">
        <v>0</v>
      </c>
      <c r="AE14" s="64">
        <f t="shared" si="2"/>
        <v>353</v>
      </c>
      <c r="AF14" s="65">
        <f t="shared" si="0"/>
        <v>152</v>
      </c>
      <c r="AG14" s="66">
        <f>'CCCM Dashboard'!E22</f>
        <v>8</v>
      </c>
      <c r="AI14" s="464">
        <f>'CCCM Dashboard'!$D$22</f>
        <v>1465</v>
      </c>
      <c r="AJ14" s="492">
        <f>COUNTIFS('NFI Distributions'!$B$6:$B$280,"&gt;5/1/2017",'NFI Distributions'!$G$6:$G$280,Table58[[#This Row],[Township]])</f>
        <v>0</v>
      </c>
      <c r="CR14" s="3"/>
      <c r="CS14" s="3"/>
      <c r="CT14" s="3"/>
      <c r="CU14" s="3"/>
      <c r="CV14" s="3"/>
      <c r="CW14" s="3"/>
      <c r="CX14" s="3"/>
      <c r="CY14" s="3"/>
      <c r="CZ14" s="3"/>
      <c r="DA14" s="3"/>
      <c r="DB14" s="3"/>
      <c r="DC14" s="3"/>
      <c r="DD14" s="3"/>
      <c r="DE14" s="3"/>
      <c r="DF14" s="3"/>
    </row>
    <row r="15" spans="15:110" ht="18.75" customHeight="1" x14ac:dyDescent="0.4">
      <c r="O15" s="5"/>
      <c r="P15" s="5"/>
      <c r="T15" s="67" t="s">
        <v>504</v>
      </c>
      <c r="U15" s="61" t="s">
        <v>180</v>
      </c>
      <c r="V15" s="67">
        <v>96.376558441558373</v>
      </c>
      <c r="W15" s="61">
        <v>24.957077922077939</v>
      </c>
      <c r="X15" s="61">
        <f>'CCCM Dashboard'!C23</f>
        <v>76</v>
      </c>
      <c r="Y15" s="463">
        <f>'CCCM Dashboard'!$D$23</f>
        <v>354</v>
      </c>
      <c r="Z15" s="62" t="str">
        <f t="shared" si="1"/>
        <v>8 cps</v>
      </c>
      <c r="AA15" s="202" t="e">
        <f>#REF!</f>
        <v>#REF!</v>
      </c>
      <c r="AB15" s="63">
        <v>1</v>
      </c>
      <c r="AC15" s="63">
        <v>0</v>
      </c>
      <c r="AD15" s="63">
        <v>0</v>
      </c>
      <c r="AE15" s="64">
        <f t="shared" si="2"/>
        <v>411</v>
      </c>
      <c r="AF15" s="65">
        <f t="shared" si="0"/>
        <v>84</v>
      </c>
      <c r="AG15" s="66">
        <f>'CCCM Dashboard'!E23</f>
        <v>4</v>
      </c>
      <c r="AI15" s="463">
        <f>'CCCM Dashboard'!$D$23</f>
        <v>354</v>
      </c>
      <c r="AJ15" s="492">
        <f>COUNTIFS('NFI Distributions'!$B$6:$B$280,"&gt;5/1/2017",'NFI Distributions'!$G$6:$G$280,Table58[[#This Row],[Township]])</f>
        <v>3</v>
      </c>
      <c r="CR15" s="3"/>
      <c r="CS15" s="3"/>
      <c r="CT15" s="3"/>
      <c r="CU15" s="3"/>
      <c r="CV15" s="3"/>
      <c r="CW15" s="3"/>
      <c r="CX15" s="3"/>
      <c r="CY15" s="3"/>
      <c r="CZ15" s="3"/>
      <c r="DA15" s="3"/>
      <c r="DB15" s="3"/>
      <c r="DC15" s="3"/>
      <c r="DD15" s="3"/>
      <c r="DE15" s="3"/>
      <c r="DF15" s="3"/>
    </row>
    <row r="16" spans="15:110" ht="18.75" customHeight="1" x14ac:dyDescent="0.4">
      <c r="O16" s="5"/>
      <c r="P16" s="5"/>
      <c r="T16" s="60" t="s">
        <v>486</v>
      </c>
      <c r="U16" s="61" t="s">
        <v>185</v>
      </c>
      <c r="V16" s="60">
        <v>97.449510489510473</v>
      </c>
      <c r="W16" s="61">
        <v>24.6</v>
      </c>
      <c r="X16" s="61">
        <f>'CCCM Dashboard'!C24</f>
        <v>4745</v>
      </c>
      <c r="Y16" s="464">
        <f>'CCCM Dashboard'!$D$24</f>
        <v>24925</v>
      </c>
      <c r="Z16" s="62" t="str">
        <f t="shared" si="1"/>
        <v>4 cps</v>
      </c>
      <c r="AA16" s="202" t="e">
        <f>#REF!</f>
        <v>#REF!</v>
      </c>
      <c r="AB16" s="63">
        <v>0.12549019607843137</v>
      </c>
      <c r="AC16" s="63">
        <v>0</v>
      </c>
      <c r="AD16" s="63">
        <v>0.58263305322128844</v>
      </c>
      <c r="AE16" s="64">
        <f t="shared" si="2"/>
        <v>457</v>
      </c>
      <c r="AF16" s="65">
        <f t="shared" si="0"/>
        <v>223</v>
      </c>
      <c r="AG16" s="66">
        <f>'CCCM Dashboard'!E24</f>
        <v>15</v>
      </c>
      <c r="AI16" s="464">
        <f>'CCCM Dashboard'!$D$24</f>
        <v>24925</v>
      </c>
      <c r="AJ16" s="492">
        <f>COUNTIFS('NFI Distributions'!$B$6:$B$280,"&gt;5/1/2017",'NFI Distributions'!$G$6:$G$280,Table58[[#This Row],[Township]])</f>
        <v>15</v>
      </c>
      <c r="CR16" s="3"/>
      <c r="CS16" s="3"/>
      <c r="CT16" s="3"/>
      <c r="CU16" s="3"/>
      <c r="CV16" s="3"/>
      <c r="CW16" s="3"/>
      <c r="CX16" s="3"/>
      <c r="CY16" s="3"/>
      <c r="CZ16" s="3"/>
      <c r="DA16" s="3"/>
      <c r="DB16" s="3"/>
      <c r="DC16" s="3"/>
      <c r="DD16" s="3"/>
      <c r="DE16" s="3"/>
      <c r="DF16" s="3"/>
    </row>
    <row r="17" spans="1:110" ht="18.75" customHeight="1" x14ac:dyDescent="0.4">
      <c r="O17" s="5"/>
      <c r="P17" s="5"/>
      <c r="T17" s="67" t="s">
        <v>491</v>
      </c>
      <c r="U17" s="61" t="s">
        <v>230</v>
      </c>
      <c r="V17" s="67">
        <v>98.12</v>
      </c>
      <c r="W17" s="61">
        <v>23.972235294117642</v>
      </c>
      <c r="X17" s="61">
        <f>'CCCM Dashboard'!C36</f>
        <v>213</v>
      </c>
      <c r="Y17" s="463">
        <f>'CCCM Dashboard'!$D$36</f>
        <v>1053</v>
      </c>
      <c r="Z17" s="62" t="str">
        <f t="shared" si="1"/>
        <v>15 cps</v>
      </c>
      <c r="AA17" s="202" t="e">
        <f>#REF!</f>
        <v>#REF!</v>
      </c>
      <c r="AB17" s="63">
        <v>0</v>
      </c>
      <c r="AC17" s="63">
        <v>0</v>
      </c>
      <c r="AD17" s="63">
        <v>0</v>
      </c>
      <c r="AE17" s="64">
        <f t="shared" si="2"/>
        <v>539</v>
      </c>
      <c r="AF17" s="65">
        <f t="shared" si="0"/>
        <v>311</v>
      </c>
      <c r="AG17" s="66">
        <f>'CCCM Dashboard'!E36</f>
        <v>3</v>
      </c>
      <c r="AI17" s="463">
        <f>'CCCM Dashboard'!$D$36</f>
        <v>1053</v>
      </c>
      <c r="AJ17" s="492">
        <f>COUNTIFS('NFI Distributions'!$B$6:$B$280,"&gt;5/1/2017",'NFI Distributions'!$G$6:$G$280,Table58[[#This Row],[Township]])</f>
        <v>0</v>
      </c>
      <c r="CR17" s="3"/>
      <c r="CS17" s="3"/>
      <c r="CT17" s="3"/>
      <c r="CU17" s="3"/>
      <c r="CV17" s="3"/>
      <c r="CW17" s="3"/>
      <c r="CX17" s="3"/>
      <c r="CY17" s="3"/>
      <c r="CZ17" s="3"/>
      <c r="DA17" s="3"/>
      <c r="DB17" s="3"/>
      <c r="DC17" s="3"/>
      <c r="DD17" s="3"/>
      <c r="DE17" s="3"/>
      <c r="DF17" s="3"/>
    </row>
    <row r="18" spans="1:110" ht="18.75" customHeight="1" x14ac:dyDescent="0.4">
      <c r="O18" s="5"/>
      <c r="P18" s="5"/>
      <c r="T18" s="60" t="s">
        <v>488</v>
      </c>
      <c r="U18" s="61" t="s">
        <v>237</v>
      </c>
      <c r="V18" s="60">
        <v>97.301176470588288</v>
      </c>
      <c r="W18" s="61">
        <v>25.24</v>
      </c>
      <c r="X18" s="61">
        <f>'CCCM Dashboard'!C25</f>
        <v>2255</v>
      </c>
      <c r="Y18" s="464">
        <f>'CCCM Dashboard'!$D$25</f>
        <v>11250</v>
      </c>
      <c r="Z18" s="62" t="str">
        <f t="shared" si="1"/>
        <v>3 cps</v>
      </c>
      <c r="AA18" s="202" t="e">
        <f>#REF!</f>
        <v>#REF!</v>
      </c>
      <c r="AB18" s="63">
        <v>0.65062761506276146</v>
      </c>
      <c r="AC18" s="63">
        <v>0</v>
      </c>
      <c r="AD18" s="63">
        <v>0.25732217573221761</v>
      </c>
      <c r="AE18" s="64">
        <f t="shared" si="2"/>
        <v>374</v>
      </c>
      <c r="AF18" s="65">
        <f t="shared" si="0"/>
        <v>204</v>
      </c>
      <c r="AG18" s="66">
        <f>'CCCM Dashboard'!E25</f>
        <v>25</v>
      </c>
      <c r="AI18" s="464">
        <f>'CCCM Dashboard'!$D$25</f>
        <v>11250</v>
      </c>
      <c r="AJ18" s="492">
        <f>COUNTIFS('NFI Distributions'!$B$6:$B$280,"&gt;5/1/2017",'NFI Distributions'!$G$6:$G$280,Table58[[#This Row],[Township]])</f>
        <v>41</v>
      </c>
      <c r="CR18" s="3"/>
      <c r="CS18" s="3"/>
      <c r="CT18" s="3"/>
      <c r="CU18" s="3"/>
      <c r="CV18" s="3"/>
      <c r="CW18" s="3"/>
      <c r="CX18" s="3"/>
      <c r="CY18" s="3"/>
      <c r="CZ18" s="3"/>
      <c r="DA18" s="3"/>
      <c r="DB18" s="3"/>
      <c r="DC18" s="3"/>
      <c r="DD18" s="3"/>
      <c r="DE18" s="3"/>
      <c r="DF18" s="3"/>
    </row>
    <row r="19" spans="1:110" ht="18.75" customHeight="1" x14ac:dyDescent="0.4">
      <c r="O19" s="5"/>
      <c r="P19" s="5"/>
      <c r="T19" s="67" t="s">
        <v>502</v>
      </c>
      <c r="U19" s="61" t="s">
        <v>288</v>
      </c>
      <c r="V19" s="67">
        <v>97.619855072463778</v>
      </c>
      <c r="W19" s="61">
        <v>23.7</v>
      </c>
      <c r="X19" s="61">
        <f>'CCCM Dashboard'!C37</f>
        <v>410</v>
      </c>
      <c r="Y19" s="463">
        <f>'CCCM Dashboard'!$D$37</f>
        <v>1977</v>
      </c>
      <c r="Z19" s="62" t="str">
        <f t="shared" si="1"/>
        <v>25 cps</v>
      </c>
      <c r="AA19" s="202" t="e">
        <f>#REF!</f>
        <v>#REF!</v>
      </c>
      <c r="AB19" s="63">
        <v>0</v>
      </c>
      <c r="AC19" s="63">
        <v>0</v>
      </c>
      <c r="AD19" s="63">
        <v>0</v>
      </c>
      <c r="AE19" s="64">
        <f t="shared" si="2"/>
        <v>574</v>
      </c>
      <c r="AF19" s="65">
        <f t="shared" si="0"/>
        <v>246</v>
      </c>
      <c r="AG19" s="66">
        <f>'CCCM Dashboard'!E37</f>
        <v>6</v>
      </c>
      <c r="AI19" s="463">
        <f>'CCCM Dashboard'!$D$37</f>
        <v>1977</v>
      </c>
      <c r="AJ19" s="492">
        <f>COUNTIFS('NFI Distributions'!$B$6:$B$280,"&gt;5/1/2017",'NFI Distributions'!$G$6:$G$280,Table58[[#This Row],[Township]])</f>
        <v>2</v>
      </c>
      <c r="CR19" s="3"/>
      <c r="CS19" s="3"/>
      <c r="CT19" s="3"/>
      <c r="CU19" s="3"/>
      <c r="CV19" s="3"/>
      <c r="CW19" s="3"/>
      <c r="CX19" s="3"/>
      <c r="CY19" s="3"/>
      <c r="CZ19" s="3"/>
      <c r="DA19" s="3"/>
      <c r="DB19" s="3"/>
      <c r="DC19" s="3"/>
      <c r="DD19" s="3"/>
      <c r="DE19" s="3"/>
      <c r="DF19" s="3"/>
    </row>
    <row r="20" spans="1:110" ht="18.75" customHeight="1" x14ac:dyDescent="0.4">
      <c r="O20" s="5"/>
      <c r="P20" s="5"/>
      <c r="T20" s="60" t="s">
        <v>503</v>
      </c>
      <c r="U20" s="61" t="s">
        <v>297</v>
      </c>
      <c r="V20" s="60">
        <v>97.48</v>
      </c>
      <c r="W20" s="61">
        <v>23.01813559322035</v>
      </c>
      <c r="X20" s="61">
        <f>'CCCM Dashboard'!C39</f>
        <v>162</v>
      </c>
      <c r="Y20" s="464">
        <f>'CCCM Dashboard'!$D$39</f>
        <v>757</v>
      </c>
      <c r="Z20" s="62" t="str">
        <f t="shared" si="1"/>
        <v>6 cps</v>
      </c>
      <c r="AA20" s="202" t="e">
        <f>#REF!</f>
        <v>#REF!</v>
      </c>
      <c r="AB20" s="63">
        <v>0</v>
      </c>
      <c r="AC20" s="63">
        <v>0</v>
      </c>
      <c r="AD20" s="63">
        <v>0</v>
      </c>
      <c r="AE20" s="64">
        <f t="shared" si="2"/>
        <v>663</v>
      </c>
      <c r="AF20" s="65">
        <f t="shared" si="0"/>
        <v>227</v>
      </c>
      <c r="AG20" s="66">
        <f>'CCCM Dashboard'!E39</f>
        <v>4</v>
      </c>
      <c r="AI20" s="464">
        <f>'CCCM Dashboard'!$D$39</f>
        <v>757</v>
      </c>
      <c r="AJ20" s="492">
        <f>COUNTIFS('NFI Distributions'!$B$6:$B$280,"&gt;5/1/2017",'NFI Distributions'!$G$6:$G$280,Table58[[#This Row],[Township]])</f>
        <v>33</v>
      </c>
      <c r="CR20" s="3"/>
      <c r="CS20" s="3"/>
      <c r="CT20" s="3"/>
      <c r="CU20" s="3"/>
      <c r="CV20" s="3"/>
      <c r="CW20" s="3"/>
      <c r="CX20" s="3"/>
      <c r="CY20" s="3"/>
      <c r="CZ20" s="3"/>
      <c r="DA20" s="3"/>
      <c r="DB20" s="3"/>
      <c r="DC20" s="3"/>
      <c r="DD20" s="3"/>
      <c r="DE20" s="3"/>
      <c r="DF20" s="3"/>
    </row>
    <row r="21" spans="1:110" ht="18.75" customHeight="1" x14ac:dyDescent="0.4">
      <c r="O21" s="5"/>
      <c r="P21" s="5"/>
      <c r="T21" s="67" t="s">
        <v>505</v>
      </c>
      <c r="U21" s="61" t="s">
        <v>299</v>
      </c>
      <c r="V21" s="67">
        <v>97.435148514851463</v>
      </c>
      <c r="W21" s="61">
        <v>27.327029702970304</v>
      </c>
      <c r="X21" s="61">
        <f>'CCCM Dashboard'!C26</f>
        <v>85</v>
      </c>
      <c r="Y21" s="463">
        <f>'CCCM Dashboard'!$D$26</f>
        <v>412</v>
      </c>
      <c r="Z21" s="62" t="str">
        <f t="shared" si="1"/>
        <v>4 cps</v>
      </c>
      <c r="AA21" s="202" t="e">
        <f>#REF!</f>
        <v>#REF!</v>
      </c>
      <c r="AB21" s="63">
        <v>0</v>
      </c>
      <c r="AC21" s="63">
        <v>0</v>
      </c>
      <c r="AD21" s="63">
        <v>0</v>
      </c>
      <c r="AE21" s="64">
        <f t="shared" si="2"/>
        <v>102</v>
      </c>
      <c r="AF21" s="65">
        <f t="shared" si="0"/>
        <v>222</v>
      </c>
      <c r="AG21" s="66">
        <f>'CCCM Dashboard'!E26</f>
        <v>3</v>
      </c>
      <c r="AI21" s="463">
        <f>'CCCM Dashboard'!$D$26</f>
        <v>412</v>
      </c>
      <c r="AJ21" s="492">
        <f>COUNTIFS('NFI Distributions'!$B$6:$B$280,"&gt;5/1/2017",'NFI Distributions'!$G$6:$G$280,Table58[[#This Row],[Township]])</f>
        <v>0</v>
      </c>
      <c r="CR21" s="3"/>
      <c r="CS21" s="3"/>
      <c r="CT21" s="3"/>
      <c r="CU21" s="3"/>
      <c r="CV21" s="3"/>
      <c r="CW21" s="3"/>
      <c r="CX21" s="3"/>
      <c r="CY21" s="3"/>
      <c r="CZ21" s="3"/>
      <c r="DA21" s="3"/>
      <c r="DB21" s="3"/>
      <c r="DC21" s="3"/>
      <c r="DD21" s="3"/>
      <c r="DE21" s="3"/>
      <c r="DF21" s="3"/>
    </row>
    <row r="22" spans="1:110" ht="18.75" customHeight="1" x14ac:dyDescent="0.4">
      <c r="T22" s="60" t="s">
        <v>493</v>
      </c>
      <c r="U22" s="61" t="s">
        <v>301</v>
      </c>
      <c r="V22" s="60">
        <v>96.752179487179433</v>
      </c>
      <c r="W22" s="61">
        <v>24.4</v>
      </c>
      <c r="X22" s="61">
        <f>'CCCM Dashboard'!C27</f>
        <v>134</v>
      </c>
      <c r="Y22" s="464">
        <f>'CCCM Dashboard'!$D$27</f>
        <v>529</v>
      </c>
      <c r="Z22" s="62" t="str">
        <f t="shared" si="1"/>
        <v>3 cps</v>
      </c>
      <c r="AA22" s="202" t="e">
        <f>#REF!</f>
        <v>#REF!</v>
      </c>
      <c r="AB22" s="63">
        <v>0</v>
      </c>
      <c r="AC22" s="63">
        <v>0</v>
      </c>
      <c r="AD22" s="63">
        <v>0</v>
      </c>
      <c r="AE22" s="64">
        <f t="shared" si="2"/>
        <v>483</v>
      </c>
      <c r="AF22" s="65">
        <f t="shared" si="0"/>
        <v>133</v>
      </c>
      <c r="AG22" s="66">
        <f>'CCCM Dashboard'!E27</f>
        <v>2</v>
      </c>
      <c r="AI22" s="464">
        <f>'CCCM Dashboard'!$D$27</f>
        <v>529</v>
      </c>
      <c r="AJ22" s="492">
        <f>COUNTIFS('NFI Distributions'!$B$6:$B$280,"&gt;5/1/2017",'NFI Distributions'!$G$6:$G$280,Table58[[#This Row],[Township]])</f>
        <v>7</v>
      </c>
      <c r="CY22" s="18"/>
      <c r="CZ22" s="19"/>
      <c r="DA22" s="19"/>
      <c r="DB22" s="19"/>
      <c r="DC22" s="19"/>
    </row>
    <row r="23" spans="1:110" ht="18.75" customHeight="1" x14ac:dyDescent="0.4">
      <c r="A23" s="29"/>
      <c r="B23" s="29"/>
      <c r="C23" s="29"/>
      <c r="D23" s="29"/>
      <c r="E23" s="29"/>
      <c r="F23" s="29"/>
      <c r="G23" s="29"/>
      <c r="H23" s="29"/>
      <c r="I23" s="29"/>
      <c r="J23" s="29"/>
      <c r="K23" s="29"/>
      <c r="L23" s="29"/>
      <c r="M23" s="29"/>
      <c r="N23" s="20"/>
      <c r="T23" s="67" t="s">
        <v>747</v>
      </c>
      <c r="U23" s="61" t="s">
        <v>746</v>
      </c>
      <c r="V23" s="60">
        <v>97.5</v>
      </c>
      <c r="W23" s="69">
        <v>26.5</v>
      </c>
      <c r="X23" s="61">
        <f>'CCCM Dashboard'!C28</f>
        <v>198</v>
      </c>
      <c r="Y23" s="463">
        <f>'CCCM Dashboard'!$D$28</f>
        <v>1143</v>
      </c>
      <c r="Z23" s="62" t="str">
        <f t="shared" si="1"/>
        <v>2 cps</v>
      </c>
      <c r="AA23" s="202" t="e">
        <f>#REF!</f>
        <v>#REF!</v>
      </c>
      <c r="AB23" s="63"/>
      <c r="AC23" s="63"/>
      <c r="AD23" s="63"/>
      <c r="AE23" s="64">
        <f t="shared" si="2"/>
        <v>210</v>
      </c>
      <c r="AF23" s="65">
        <f t="shared" si="0"/>
        <v>230</v>
      </c>
      <c r="AG23" s="66">
        <f>'CCCM Dashboard'!E28</f>
        <v>3</v>
      </c>
      <c r="AI23" s="463">
        <f>'CCCM Dashboard'!$D$28</f>
        <v>1143</v>
      </c>
      <c r="AJ23" s="492">
        <f>COUNTIFS('NFI Distributions'!$B$6:$B$280,"&gt;5/1/2017",'NFI Distributions'!$G$6:$G$280,Table58[[#This Row],[Township]])</f>
        <v>0</v>
      </c>
      <c r="CY23" s="18"/>
      <c r="CZ23" s="19"/>
      <c r="DA23" s="19"/>
      <c r="DB23" s="19"/>
      <c r="DC23" s="19"/>
    </row>
    <row r="24" spans="1:110" ht="18.75" customHeight="1" x14ac:dyDescent="0.4">
      <c r="A24" s="29"/>
      <c r="B24" s="29"/>
      <c r="C24" s="29"/>
      <c r="D24" s="29"/>
      <c r="E24" s="29"/>
      <c r="F24" s="29"/>
      <c r="G24" s="29"/>
      <c r="H24" s="29"/>
      <c r="I24" s="29"/>
      <c r="J24" s="29"/>
      <c r="K24" s="29"/>
      <c r="L24" s="29"/>
      <c r="M24" s="29"/>
      <c r="N24" s="20"/>
      <c r="T24" s="313" t="s">
        <v>1136</v>
      </c>
      <c r="U24" s="314" t="s">
        <v>1137</v>
      </c>
      <c r="V24" s="315">
        <v>96.716553000000005</v>
      </c>
      <c r="W24" s="316">
        <v>26.357970999999999</v>
      </c>
      <c r="X24" s="61">
        <f>'CCCM Dashboard'!C29</f>
        <v>235</v>
      </c>
      <c r="Y24" s="464">
        <f>'CCCM Dashboard'!$D$29</f>
        <v>915</v>
      </c>
      <c r="Z24" s="62" t="str">
        <f t="shared" si="1"/>
        <v>3 cps</v>
      </c>
      <c r="AA24" s="202" t="e">
        <f>#REF!</f>
        <v>#REF!</v>
      </c>
      <c r="AB24" s="317"/>
      <c r="AC24" s="317"/>
      <c r="AD24" s="317"/>
      <c r="AE24" s="318">
        <f>$S$3-ROUND((W24-$S$1)*$S$5,0)</f>
        <v>228</v>
      </c>
      <c r="AF24" s="319">
        <f t="shared" si="0"/>
        <v>128</v>
      </c>
      <c r="AG24" s="66">
        <f>'CCCM Dashboard'!E29</f>
        <v>4</v>
      </c>
      <c r="AI24" s="464">
        <f>'CCCM Dashboard'!$D$29</f>
        <v>915</v>
      </c>
      <c r="AJ24" s="492">
        <f>COUNTIFS('NFI Distributions'!$B$6:$B$280,"&gt;5/1/2017",'NFI Distributions'!$G$6:$G$280,Table58[[#This Row],[Township]])</f>
        <v>6</v>
      </c>
      <c r="CR24" s="138"/>
      <c r="CS24" s="138"/>
      <c r="CT24" s="138"/>
      <c r="CU24" s="138"/>
      <c r="CV24" s="138"/>
      <c r="CW24" s="138"/>
      <c r="CX24" s="138"/>
      <c r="CY24" s="18"/>
      <c r="CZ24" s="19"/>
      <c r="DA24" s="19"/>
      <c r="DB24" s="19"/>
      <c r="DC24" s="19"/>
      <c r="DD24" s="138"/>
      <c r="DE24" s="138"/>
      <c r="DF24" s="138"/>
    </row>
    <row r="25" spans="1:110" ht="18.75" customHeight="1" x14ac:dyDescent="0.4">
      <c r="A25" s="22"/>
      <c r="B25" s="22"/>
      <c r="C25" s="23"/>
      <c r="D25" s="23"/>
      <c r="E25" s="24"/>
      <c r="F25" s="24"/>
      <c r="G25" s="25"/>
      <c r="H25" s="26"/>
      <c r="I25" s="26"/>
      <c r="J25" s="26"/>
      <c r="K25" s="27"/>
      <c r="L25" s="28"/>
      <c r="M25" s="29"/>
      <c r="N25" s="20"/>
      <c r="T25" s="67" t="s">
        <v>485</v>
      </c>
      <c r="U25" s="61" t="s">
        <v>309</v>
      </c>
      <c r="V25" s="67">
        <v>97.8</v>
      </c>
      <c r="W25" s="61">
        <v>25.5</v>
      </c>
      <c r="X25" s="61">
        <f>'CCCM Dashboard'!C30</f>
        <v>4869</v>
      </c>
      <c r="Y25" s="463">
        <f>'CCCM Dashboard'!$D$30</f>
        <v>25288</v>
      </c>
      <c r="Z25" s="62" t="str">
        <f t="shared" si="1"/>
        <v>4 cps</v>
      </c>
      <c r="AA25" s="202" t="e">
        <f>#REF!</f>
        <v>#REF!</v>
      </c>
      <c r="AB25" s="63">
        <v>0.37372161553128791</v>
      </c>
      <c r="AC25" s="63">
        <v>0</v>
      </c>
      <c r="AD25" s="63">
        <v>4.6281851274050934E-2</v>
      </c>
      <c r="AE25" s="64">
        <f t="shared" si="2"/>
        <v>340</v>
      </c>
      <c r="AF25" s="65">
        <f t="shared" si="0"/>
        <v>269</v>
      </c>
      <c r="AG25" s="66">
        <f>'CCCM Dashboard'!E30</f>
        <v>24</v>
      </c>
      <c r="AI25" s="463">
        <f>'CCCM Dashboard'!$D$30</f>
        <v>25288</v>
      </c>
      <c r="AJ25" s="492">
        <f>COUNTIFS('NFI Distributions'!$B$6:$B$280,"&gt;5/1/2017",'NFI Distributions'!$G$6:$G$280,Table58[[#This Row],[Township]])</f>
        <v>18</v>
      </c>
      <c r="CY25" s="18"/>
      <c r="CZ25" s="19"/>
      <c r="DA25" s="19"/>
      <c r="DB25" s="19"/>
      <c r="DC25" s="19"/>
    </row>
    <row r="26" spans="1:110" ht="18.75" customHeight="1" x14ac:dyDescent="0.4">
      <c r="T26" s="61"/>
      <c r="U26" s="61" t="s">
        <v>519</v>
      </c>
      <c r="V26" s="69" t="s">
        <v>521</v>
      </c>
      <c r="W26" s="69" t="s">
        <v>520</v>
      </c>
      <c r="X26" s="468">
        <f>SUBTOTAL(109,Table58[HS])</f>
        <v>20342</v>
      </c>
      <c r="Y26" s="468">
        <f>SUBTOTAL(109,Table58[Pop])</f>
        <v>103236</v>
      </c>
      <c r="Z26" s="62" t="str">
        <f>CONCATENATE(Table58[[#Totals],[Column1]]," camps")</f>
        <v>169 camps</v>
      </c>
      <c r="AA26" s="469" t="e">
        <f>SUMPRODUCT(Table58[Pop]*Table58[Coverage])/Table58[[#Totals],[Pop]]</f>
        <v>#REF!</v>
      </c>
      <c r="AB26" s="470">
        <f>SUMPRODUCT(Table58[Pop]*Table58[Hygiene])/Table58[[#Totals],[Pop]]</f>
        <v>0.24414263534980959</v>
      </c>
      <c r="AC26" s="470">
        <f>SUMPRODUCT(Table58[Pop]*Table58[Core])/Table58[[#Totals],[Pop]]</f>
        <v>0</v>
      </c>
      <c r="AD26" s="470">
        <f>SUMPRODUCT(Table58[Pop]*Table58[Sanitary])/Table58[[#Totals],[Pop]]</f>
        <v>0.27824026818671005</v>
      </c>
      <c r="AE26" s="471">
        <f>1000-ROUND((W26-23.5)*$S$5,0)</f>
        <v>545</v>
      </c>
      <c r="AF26" s="472">
        <f>ROUND((V26-96.5)*$S$5,0)+100</f>
        <v>35</v>
      </c>
      <c r="AG26" s="473">
        <f>SUBTOTAL(109,Table58[Column1])</f>
        <v>169</v>
      </c>
      <c r="CY26" s="18"/>
      <c r="DC26" s="1"/>
      <c r="DD26" s="12"/>
    </row>
    <row r="27" spans="1:110" ht="18.75" customHeight="1" x14ac:dyDescent="0.4">
      <c r="CY27" s="18"/>
      <c r="DC27" s="1"/>
      <c r="DD27" s="12"/>
    </row>
    <row r="28" spans="1:110" ht="18.75" customHeight="1" x14ac:dyDescent="0.4">
      <c r="P28" s="21"/>
      <c r="Q28" s="21"/>
      <c r="CY28" s="18"/>
      <c r="DC28" s="1"/>
      <c r="DD28" s="12"/>
    </row>
    <row r="29" spans="1:110" s="5" customFormat="1" ht="18.75" customHeight="1" x14ac:dyDescent="0.4">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4">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4">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4">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4">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4">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4">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4">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4">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4">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4">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4">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4">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4">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4">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4">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4">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4">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4">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4">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4">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4">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4">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4">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4">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4">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62" priority="1" operator="between">
      <formula>0.4</formula>
      <formula>0.6</formula>
    </cfRule>
    <cfRule type="cellIs" dxfId="1161" priority="2" operator="greaterThan">
      <formula>0.8</formula>
    </cfRule>
    <cfRule type="cellIs" dxfId="1160" priority="3" operator="between">
      <formula>0.6</formula>
      <formula>0.8</formula>
    </cfRule>
    <cfRule type="cellIs" dxfId="1159" priority="4" operator="between">
      <formula>0.2</formula>
      <formula>0.4</formula>
    </cfRule>
    <cfRule type="cellIs" dxfId="1158"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137160</xdr:rowOff>
              </from>
              <to>
                <xdr:col>18</xdr:col>
                <xdr:colOff>1386840</xdr:colOff>
                <xdr:row>5</xdr:row>
                <xdr:rowOff>60960</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236220</xdr:colOff>
                <xdr:row>44</xdr:row>
                <xdr:rowOff>160020</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236220</xdr:colOff>
                <xdr:row>44</xdr:row>
                <xdr:rowOff>152400</xdr:rowOff>
              </from>
              <to>
                <xdr:col>31</xdr:col>
                <xdr:colOff>762000</xdr:colOff>
                <xdr:row>45</xdr:row>
                <xdr:rowOff>144780</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182880</xdr:rowOff>
              </from>
              <to>
                <xdr:col>33</xdr:col>
                <xdr:colOff>144780</xdr:colOff>
                <xdr:row>45</xdr:row>
                <xdr:rowOff>160020</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198120</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4.4" x14ac:dyDescent="0.3"/>
  <cols>
    <col min="1" max="1" width="17" customWidth="1"/>
    <col min="2" max="2" width="12" customWidth="1"/>
    <col min="3" max="3" width="10.5546875" bestFit="1" customWidth="1"/>
    <col min="4" max="4" width="11.5546875" customWidth="1"/>
  </cols>
  <sheetData>
    <row r="1" spans="1:5" x14ac:dyDescent="0.3">
      <c r="A1" t="s">
        <v>464</v>
      </c>
      <c r="D1" t="s">
        <v>419</v>
      </c>
    </row>
    <row r="2" spans="1:5" x14ac:dyDescent="0.3">
      <c r="A2" t="s">
        <v>507</v>
      </c>
      <c r="B2" s="393">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52478</v>
      </c>
      <c r="C2" s="409"/>
      <c r="D2" s="323" t="s">
        <v>1411</v>
      </c>
      <c r="E2" s="323"/>
    </row>
    <row r="3" spans="1:5" x14ac:dyDescent="0.3">
      <c r="A3" t="s">
        <v>1400</v>
      </c>
      <c r="B3" s="393">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5296</v>
      </c>
      <c r="C3" s="409"/>
      <c r="D3" t="s">
        <v>1264</v>
      </c>
      <c r="E3" s="323">
        <f>COUNTIF('NFI Distributions'!D5:D61,"NRC")</f>
        <v>2</v>
      </c>
    </row>
    <row r="4" spans="1:5" x14ac:dyDescent="0.3">
      <c r="A4" t="s">
        <v>849</v>
      </c>
      <c r="B4" s="393">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410"/>
      <c r="D4" t="s">
        <v>1409</v>
      </c>
      <c r="E4">
        <f>COUNTIF('NFI Distributions'!D40:D62,"NRC/KBC")</f>
        <v>0</v>
      </c>
    </row>
    <row r="5" spans="1:5" x14ac:dyDescent="0.3">
      <c r="A5" t="s">
        <v>1391</v>
      </c>
      <c r="B5" s="393">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6677</v>
      </c>
      <c r="C5" s="409"/>
      <c r="D5" t="s">
        <v>778</v>
      </c>
      <c r="E5" s="323">
        <f>COUNTIF('NFI Distributions'!D41:D63,"Metta")</f>
        <v>0</v>
      </c>
    </row>
    <row r="6" spans="1:5" x14ac:dyDescent="0.3">
      <c r="D6" t="s">
        <v>825</v>
      </c>
      <c r="E6" s="323">
        <f>COUNTIF('NFI Distributions'!D42:D64,"MRCS")</f>
        <v>0</v>
      </c>
    </row>
    <row r="7" spans="1:5" x14ac:dyDescent="0.3">
      <c r="D7" t="s">
        <v>1410</v>
      </c>
      <c r="E7" s="323">
        <f>COUNTIF('NFI Distributions'!D43:D65,"UNHCR/Shalom")</f>
        <v>0</v>
      </c>
    </row>
    <row r="8" spans="1:5" x14ac:dyDescent="0.3">
      <c r="A8" t="s">
        <v>466</v>
      </c>
    </row>
    <row r="9" spans="1:5" x14ac:dyDescent="0.3">
      <c r="A9" s="323" t="s">
        <v>507</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37521</v>
      </c>
      <c r="C9" s="409"/>
    </row>
    <row r="10" spans="1:5" x14ac:dyDescent="0.3">
      <c r="A10" s="323" t="s">
        <v>1400</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409"/>
    </row>
    <row r="11" spans="1:5" x14ac:dyDescent="0.3">
      <c r="A11" s="323" t="s">
        <v>849</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409"/>
    </row>
    <row r="12" spans="1:5" x14ac:dyDescent="0.3">
      <c r="A12" s="323" t="s">
        <v>1391</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0</v>
      </c>
      <c r="C12" s="409"/>
    </row>
    <row r="14" spans="1:5" x14ac:dyDescent="0.3">
      <c r="A14" t="s">
        <v>1401</v>
      </c>
    </row>
    <row r="15" spans="1:5" x14ac:dyDescent="0.3">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94036</v>
      </c>
    </row>
    <row r="16" spans="1:5" x14ac:dyDescent="0.3">
      <c r="A16" t="s">
        <v>1151</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9200</v>
      </c>
    </row>
    <row r="17" spans="1:5" s="323" customFormat="1" x14ac:dyDescent="0.3">
      <c r="D17"/>
      <c r="E17"/>
    </row>
    <row r="18" spans="1:5" x14ac:dyDescent="0.3">
      <c r="A18" t="s">
        <v>1402</v>
      </c>
      <c r="D18" s="323"/>
      <c r="E18" s="323"/>
    </row>
    <row r="19" spans="1:5" x14ac:dyDescent="0.3">
      <c r="A19" t="s">
        <v>466</v>
      </c>
      <c r="B19">
        <f>IF('IDP location Analysis'!$O$4="All",SUMIFS(CampList[[#All],[Total]],CampList[[#All],[Status]],"Open",CampList[[#All],[Accessibility]],"NGCA"),SUMIFS(CampList[[#All],[Total]],CampList[[#All],[Status]],"Open",CampList[[#All],[Accessibility]],"NGCA",CampList[[#All],[State]],'IDP location Analysis'!$O$4))</f>
        <v>38785</v>
      </c>
    </row>
    <row r="20" spans="1:5" x14ac:dyDescent="0.3">
      <c r="A20" t="s">
        <v>464</v>
      </c>
      <c r="B20">
        <f>IF('IDP location Analysis'!$O$4="All",SUMIFS(CampList[[#All],[Total]],CampList[[#All],[Status]],"Open",CampList[[#All],[Accessibility]],"GCA"),SUMIFS(CampList[[#All],[Total]],CampList[[#All],[Status]],"Open",CampList[[#All],[Accessibility]],"GCA",CampList[[#All],[State]],'IDP location Analysis'!$O$4))</f>
        <v>64451</v>
      </c>
    </row>
    <row r="22" spans="1:5" x14ac:dyDescent="0.3">
      <c r="A22" t="s">
        <v>1403</v>
      </c>
    </row>
    <row r="23" spans="1:5" x14ac:dyDescent="0.3">
      <c r="A23" s="276" t="s">
        <v>1150</v>
      </c>
      <c r="B23" s="277" t="s">
        <v>1029</v>
      </c>
    </row>
    <row r="24" spans="1:5" x14ac:dyDescent="0.3">
      <c r="A24" s="278" t="s">
        <v>378</v>
      </c>
      <c r="B24" s="279"/>
    </row>
    <row r="25" spans="1:5" x14ac:dyDescent="0.3">
      <c r="A25" s="280" t="s">
        <v>5</v>
      </c>
      <c r="B25" s="281">
        <f>COUNTIFS(CampList[[#All],[Status]],"open",CampList[[#All],[Township]],"Bhamo")</f>
        <v>11</v>
      </c>
    </row>
    <row r="26" spans="1:5" x14ac:dyDescent="0.3">
      <c r="A26" s="280" t="s">
        <v>27</v>
      </c>
      <c r="B26" s="281">
        <f>COUNTIFS(CampList[[#All],[Status]],"open",CampList[[#All],[Township]],"Chipwi")</f>
        <v>5</v>
      </c>
    </row>
    <row r="27" spans="1:5" x14ac:dyDescent="0.3">
      <c r="A27" s="280" t="s">
        <v>480</v>
      </c>
      <c r="B27" s="281">
        <f>COUNTIFS(CampList[[#All],[Status]],"open",CampList[[#All],[Township]],"Hpakant")</f>
        <v>21</v>
      </c>
    </row>
    <row r="28" spans="1:5" x14ac:dyDescent="0.3">
      <c r="A28" s="280" t="s">
        <v>361</v>
      </c>
      <c r="B28" s="281">
        <f>COUNTIFS(CampList[[#All],[Status]],"open",CampList[[#All],[Township]],"Injangyang")</f>
        <v>0</v>
      </c>
    </row>
    <row r="29" spans="1:5" x14ac:dyDescent="0.3">
      <c r="A29" s="280" t="s">
        <v>144</v>
      </c>
      <c r="B29" s="281">
        <f>COUNTIFS(CampList[[#All],[Status]],"open",CampList[[#All],[Township]],"Khaunglanhpu")</f>
        <v>0</v>
      </c>
    </row>
    <row r="30" spans="1:5" x14ac:dyDescent="0.3">
      <c r="A30" s="280" t="s">
        <v>817</v>
      </c>
      <c r="B30" s="281">
        <f>COUNTIFS(CampList[[#All],[Status]],"open",CampList[[#All],[Township]],"Manchanbaw")</f>
        <v>0</v>
      </c>
    </row>
    <row r="31" spans="1:5" x14ac:dyDescent="0.3">
      <c r="A31" s="280" t="s">
        <v>151</v>
      </c>
      <c r="B31" s="281">
        <f>COUNTIFS(CampList[[#All],[Status]],"open",CampList[[#All],[Township]],"Mansi")</f>
        <v>11</v>
      </c>
    </row>
    <row r="32" spans="1:5" x14ac:dyDescent="0.3">
      <c r="A32" s="280" t="s">
        <v>173</v>
      </c>
      <c r="B32" s="281">
        <f>COUNTIFS(CampList[[#All],[Status]],"open",CampList[[#All],[Township]],"Mogaung")</f>
        <v>8</v>
      </c>
    </row>
    <row r="33" spans="1:2" x14ac:dyDescent="0.3">
      <c r="A33" s="280" t="s">
        <v>180</v>
      </c>
      <c r="B33" s="281">
        <f>COUNTIFS(CampList[[#All],[Status]],"open",CampList[[#All],[Township]],"Mohnyin")</f>
        <v>4</v>
      </c>
    </row>
    <row r="34" spans="1:2" x14ac:dyDescent="0.3">
      <c r="A34" s="280" t="s">
        <v>185</v>
      </c>
      <c r="B34" s="281">
        <f>COUNTIFS(CampList[[#All],[Status]],"open",CampList[[#All],[Township]],"Momauk")</f>
        <v>15</v>
      </c>
    </row>
    <row r="35" spans="1:2" x14ac:dyDescent="0.3">
      <c r="A35" s="280" t="s">
        <v>237</v>
      </c>
      <c r="B35" s="281">
        <f>COUNTIFS(CampList[[#All],[Status]],"open",CampList[[#All],[Township]],"Myitkyina")</f>
        <v>25</v>
      </c>
    </row>
    <row r="36" spans="1:2" x14ac:dyDescent="0.3">
      <c r="A36" s="280" t="s">
        <v>299</v>
      </c>
      <c r="B36" s="281">
        <f>COUNTIFS(CampList[[#All],[Status]],"open",CampList[[#All],[Township]],"Puta-O")</f>
        <v>3</v>
      </c>
    </row>
    <row r="37" spans="1:2" x14ac:dyDescent="0.3">
      <c r="A37" s="280" t="s">
        <v>301</v>
      </c>
      <c r="B37" s="281">
        <f>COUNTIFS(CampList[[#All],[Status]],"open",CampList[[#All],[Township]],"Shwegu")</f>
        <v>2</v>
      </c>
    </row>
    <row r="38" spans="1:2" x14ac:dyDescent="0.3">
      <c r="A38" s="280" t="s">
        <v>746</v>
      </c>
      <c r="B38" s="281">
        <f>COUNTIFS(CampList[[#All],[Status]],"open",CampList[[#All],[Township]],"Sumprabum")</f>
        <v>3</v>
      </c>
    </row>
    <row r="39" spans="1:2" x14ac:dyDescent="0.3">
      <c r="A39" s="280" t="s">
        <v>1137</v>
      </c>
      <c r="B39" s="281">
        <f>COUNTIFS(CampList[[#All],[Status]],"open",CampList[[#All],[Township]],"Tanai")</f>
        <v>4</v>
      </c>
    </row>
    <row r="40" spans="1:2" x14ac:dyDescent="0.3">
      <c r="A40" s="280" t="s">
        <v>309</v>
      </c>
      <c r="B40" s="281">
        <f>COUNTIFS(CampList[[#All],[Status]],"open",CampList[[#All],[Township]],"Waingmaw")</f>
        <v>24</v>
      </c>
    </row>
    <row r="41" spans="1:2" x14ac:dyDescent="0.3">
      <c r="A41" s="282" t="s">
        <v>779</v>
      </c>
      <c r="B41" s="283">
        <f>SUM(B25:B40)</f>
        <v>136</v>
      </c>
    </row>
    <row r="42" spans="1:2" x14ac:dyDescent="0.3">
      <c r="A42" s="278" t="s">
        <v>1151</v>
      </c>
      <c r="B42" s="279"/>
    </row>
    <row r="43" spans="1:2" x14ac:dyDescent="0.3">
      <c r="A43" s="284" t="s">
        <v>719</v>
      </c>
      <c r="B43" s="281">
        <f>COUNTIFS(CampList[[#All],[Status]],"open",CampList[[#All],[Township]],"Hseni")</f>
        <v>2</v>
      </c>
    </row>
    <row r="44" spans="1:2" x14ac:dyDescent="0.3">
      <c r="A44" s="284" t="s">
        <v>146</v>
      </c>
      <c r="B44" s="281">
        <f>COUNTIFS(CampList[[#All],[Status]],"open",CampList[[#All],[Township]],"Kutkai")</f>
        <v>14</v>
      </c>
    </row>
    <row r="45" spans="1:2" x14ac:dyDescent="0.3">
      <c r="A45" s="284" t="s">
        <v>166</v>
      </c>
      <c r="B45" s="281">
        <f>COUNTIFS(CampList[[#All],[Status]],"open",CampList[[#All],[Township]],"Manton")</f>
        <v>3</v>
      </c>
    </row>
    <row r="46" spans="1:2" x14ac:dyDescent="0.3">
      <c r="A46" s="280" t="s">
        <v>230</v>
      </c>
      <c r="B46" s="281">
        <f>COUNTIFS(CampList[[#All],[Status]],"open",CampList[[#All],[Township]],"Muse")</f>
        <v>3</v>
      </c>
    </row>
    <row r="47" spans="1:2" x14ac:dyDescent="0.3">
      <c r="A47" s="280" t="s">
        <v>288</v>
      </c>
      <c r="B47" s="281">
        <f>COUNTIFS(CampList[[#All],[Status]],"open",CampList[[#All],[Township]],"Namhkan")</f>
        <v>6</v>
      </c>
    </row>
    <row r="48" spans="1:2" x14ac:dyDescent="0.3">
      <c r="A48" s="280" t="s">
        <v>1201</v>
      </c>
      <c r="B48" s="281">
        <f>COUNTIFS(CampList[[#All],[Status]],"open",CampList[[#All],[Township]],"Hsipaw")</f>
        <v>1</v>
      </c>
    </row>
    <row r="49" spans="1:2" x14ac:dyDescent="0.3">
      <c r="A49" s="280" t="s">
        <v>297</v>
      </c>
      <c r="B49" s="281">
        <f>COUNTIFS(CampList[[#All],[Status]],"open",CampList[[#All],[Township]],"Namtu")</f>
        <v>4</v>
      </c>
    </row>
    <row r="50" spans="1:2" x14ac:dyDescent="0.3">
      <c r="A50" s="285" t="s">
        <v>1152</v>
      </c>
      <c r="B50" s="283">
        <f>SUM(B43:B49)</f>
        <v>33</v>
      </c>
    </row>
    <row r="51" spans="1:2" x14ac:dyDescent="0.3">
      <c r="A51" s="276" t="s">
        <v>411</v>
      </c>
      <c r="B51" s="283">
        <f>SUM(B50+B41)</f>
        <v>169</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72"/>
  <sheetViews>
    <sheetView workbookViewId="0">
      <selection activeCell="D3" sqref="D3"/>
    </sheetView>
  </sheetViews>
  <sheetFormatPr defaultRowHeight="14.4" x14ac:dyDescent="0.3"/>
  <cols>
    <col min="1" max="1" width="47.33203125" customWidth="1"/>
    <col min="2" max="2" width="16.109375" bestFit="1" customWidth="1"/>
    <col min="3" max="4" width="12" bestFit="1" customWidth="1"/>
    <col min="5" max="5" width="19.6640625" bestFit="1" customWidth="1"/>
    <col min="6" max="6" width="10.109375" bestFit="1" customWidth="1"/>
    <col min="7" max="9" width="9.33203125" bestFit="1" customWidth="1"/>
  </cols>
  <sheetData>
    <row r="1" spans="1:7" x14ac:dyDescent="0.3">
      <c r="A1" s="139" t="s">
        <v>458</v>
      </c>
      <c r="B1" s="323" t="s">
        <v>460</v>
      </c>
    </row>
    <row r="3" spans="1:7" x14ac:dyDescent="0.3">
      <c r="A3" s="139" t="s">
        <v>507</v>
      </c>
      <c r="B3" s="139" t="s">
        <v>944</v>
      </c>
      <c r="C3" s="139" t="s">
        <v>1</v>
      </c>
      <c r="D3" s="139" t="s">
        <v>457</v>
      </c>
      <c r="E3" s="139" t="s">
        <v>945</v>
      </c>
      <c r="F3" s="323" t="s">
        <v>946</v>
      </c>
      <c r="G3" s="323" t="s">
        <v>788</v>
      </c>
    </row>
    <row r="4" spans="1:7" x14ac:dyDescent="0.3">
      <c r="A4" s="323" t="s">
        <v>120</v>
      </c>
      <c r="B4" s="323" t="s">
        <v>119</v>
      </c>
      <c r="C4" s="323">
        <v>96.361609999999999</v>
      </c>
      <c r="D4" s="323" t="s">
        <v>464</v>
      </c>
      <c r="E4" s="323" t="s">
        <v>936</v>
      </c>
      <c r="F4" s="133">
        <v>64</v>
      </c>
      <c r="G4" s="133">
        <v>324</v>
      </c>
    </row>
    <row r="5" spans="1:7" x14ac:dyDescent="0.3">
      <c r="A5" s="323" t="s">
        <v>6</v>
      </c>
      <c r="B5" s="323" t="s">
        <v>4</v>
      </c>
      <c r="C5" s="323">
        <v>97.238829999999993</v>
      </c>
      <c r="D5" s="323" t="s">
        <v>464</v>
      </c>
      <c r="E5" s="323" t="s">
        <v>935</v>
      </c>
      <c r="F5" s="133">
        <v>257</v>
      </c>
      <c r="G5" s="133">
        <v>1278</v>
      </c>
    </row>
    <row r="6" spans="1:7" x14ac:dyDescent="0.3">
      <c r="A6" s="323" t="s">
        <v>41</v>
      </c>
      <c r="B6" s="323" t="s">
        <v>40</v>
      </c>
      <c r="C6" s="323">
        <v>96.345569999999995</v>
      </c>
      <c r="D6" s="323" t="s">
        <v>464</v>
      </c>
      <c r="E6" s="323" t="s">
        <v>462</v>
      </c>
      <c r="F6" s="133">
        <v>65</v>
      </c>
      <c r="G6" s="133">
        <v>353</v>
      </c>
    </row>
    <row r="7" spans="1:7" x14ac:dyDescent="0.3">
      <c r="A7" s="323" t="s">
        <v>43</v>
      </c>
      <c r="B7" s="323" t="s">
        <v>42</v>
      </c>
      <c r="C7" s="323">
        <v>96.317350000000005</v>
      </c>
      <c r="D7" s="323" t="s">
        <v>464</v>
      </c>
      <c r="E7" s="323" t="s">
        <v>462</v>
      </c>
      <c r="F7" s="133">
        <v>14</v>
      </c>
      <c r="G7" s="133">
        <v>81</v>
      </c>
    </row>
    <row r="8" spans="1:7" x14ac:dyDescent="0.3">
      <c r="A8" s="323" t="s">
        <v>465</v>
      </c>
      <c r="B8" s="323" t="s">
        <v>375</v>
      </c>
      <c r="C8" s="323">
        <v>97.252650000000003</v>
      </c>
      <c r="D8" s="323" t="s">
        <v>464</v>
      </c>
      <c r="E8" s="323" t="s">
        <v>424</v>
      </c>
      <c r="F8" s="133">
        <v>12</v>
      </c>
      <c r="G8" s="133">
        <v>52</v>
      </c>
    </row>
    <row r="9" spans="1:7" x14ac:dyDescent="0.3">
      <c r="A9" s="323" t="s">
        <v>52</v>
      </c>
      <c r="B9" s="323" t="s">
        <v>51</v>
      </c>
      <c r="C9" s="323">
        <v>96.346469999999997</v>
      </c>
      <c r="D9" s="323" t="s">
        <v>464</v>
      </c>
      <c r="E9" s="323" t="s">
        <v>424</v>
      </c>
      <c r="F9" s="133">
        <v>36</v>
      </c>
      <c r="G9" s="133">
        <v>228</v>
      </c>
    </row>
    <row r="10" spans="1:7" x14ac:dyDescent="0.3">
      <c r="A10" s="323" t="s">
        <v>333</v>
      </c>
      <c r="B10" s="323" t="s">
        <v>332</v>
      </c>
      <c r="C10" s="323">
        <v>97.915833000000006</v>
      </c>
      <c r="D10" s="323" t="s">
        <v>466</v>
      </c>
      <c r="E10" s="323" t="s">
        <v>936</v>
      </c>
      <c r="F10" s="133">
        <v>125</v>
      </c>
      <c r="G10" s="133">
        <v>483</v>
      </c>
    </row>
    <row r="11" spans="1:7" x14ac:dyDescent="0.3">
      <c r="A11" s="323" t="s">
        <v>188</v>
      </c>
      <c r="B11" s="323" t="s">
        <v>187</v>
      </c>
      <c r="C11" s="323">
        <v>97.609832999999995</v>
      </c>
      <c r="D11" s="323" t="s">
        <v>466</v>
      </c>
      <c r="E11" s="323" t="s">
        <v>935</v>
      </c>
      <c r="F11" s="133">
        <v>365</v>
      </c>
      <c r="G11" s="133">
        <v>1729</v>
      </c>
    </row>
    <row r="12" spans="1:7" x14ac:dyDescent="0.3">
      <c r="A12" s="323" t="s">
        <v>72</v>
      </c>
      <c r="B12" s="323" t="s">
        <v>71</v>
      </c>
      <c r="C12" s="323">
        <v>96.283377000000002</v>
      </c>
      <c r="D12" s="323" t="s">
        <v>464</v>
      </c>
      <c r="E12" s="323" t="s">
        <v>1322</v>
      </c>
      <c r="F12" s="133">
        <v>5</v>
      </c>
      <c r="G12" s="133">
        <v>27</v>
      </c>
    </row>
    <row r="13" spans="1:7" x14ac:dyDescent="0.3">
      <c r="A13" s="323" t="s">
        <v>28</v>
      </c>
      <c r="B13" s="323" t="s">
        <v>30</v>
      </c>
      <c r="C13" s="323">
        <v>98.131550000000004</v>
      </c>
      <c r="D13" s="323" t="s">
        <v>464</v>
      </c>
      <c r="E13" s="323" t="s">
        <v>462</v>
      </c>
      <c r="F13" s="133">
        <v>107</v>
      </c>
      <c r="G13" s="133">
        <v>559</v>
      </c>
    </row>
    <row r="14" spans="1:7" x14ac:dyDescent="0.3">
      <c r="A14" s="323" t="s">
        <v>76</v>
      </c>
      <c r="B14" s="323" t="s">
        <v>75</v>
      </c>
      <c r="C14" s="323">
        <v>96.35257</v>
      </c>
      <c r="D14" s="323" t="s">
        <v>464</v>
      </c>
      <c r="E14" s="323" t="s">
        <v>462</v>
      </c>
      <c r="F14" s="133">
        <v>70</v>
      </c>
      <c r="G14" s="133">
        <v>375</v>
      </c>
    </row>
    <row r="15" spans="1:7" x14ac:dyDescent="0.3">
      <c r="A15" s="323" t="s">
        <v>192</v>
      </c>
      <c r="B15" s="323" t="s">
        <v>191</v>
      </c>
      <c r="C15" s="323">
        <v>97.537099999999995</v>
      </c>
      <c r="D15" s="323" t="s">
        <v>466</v>
      </c>
      <c r="E15" s="323" t="s">
        <v>936</v>
      </c>
      <c r="F15" s="133">
        <v>93</v>
      </c>
      <c r="G15" s="133">
        <v>428</v>
      </c>
    </row>
    <row r="16" spans="1:7" x14ac:dyDescent="0.3">
      <c r="A16" s="323" t="s">
        <v>312</v>
      </c>
      <c r="B16" s="323" t="s">
        <v>311</v>
      </c>
      <c r="C16" s="323">
        <v>97.404195925926004</v>
      </c>
      <c r="D16" s="323" t="s">
        <v>464</v>
      </c>
      <c r="E16" s="323" t="s">
        <v>462</v>
      </c>
      <c r="F16" s="133">
        <v>103</v>
      </c>
      <c r="G16" s="133">
        <v>504</v>
      </c>
    </row>
    <row r="17" spans="1:7" x14ac:dyDescent="0.3">
      <c r="A17" s="323" t="s">
        <v>335</v>
      </c>
      <c r="B17" s="323" t="s">
        <v>334</v>
      </c>
      <c r="C17" s="323">
        <v>97.807182999999995</v>
      </c>
      <c r="D17" s="323" t="s">
        <v>466</v>
      </c>
      <c r="E17" s="323" t="s">
        <v>424</v>
      </c>
      <c r="F17" s="133">
        <v>154</v>
      </c>
      <c r="G17" s="133">
        <v>919</v>
      </c>
    </row>
    <row r="18" spans="1:7" x14ac:dyDescent="0.3">
      <c r="A18" s="323" t="s">
        <v>88</v>
      </c>
      <c r="B18" s="323" t="s">
        <v>87</v>
      </c>
      <c r="C18" s="323">
        <v>96.705960000000005</v>
      </c>
      <c r="D18" s="323" t="s">
        <v>464</v>
      </c>
      <c r="E18" s="323" t="s">
        <v>424</v>
      </c>
      <c r="F18" s="133">
        <v>13</v>
      </c>
      <c r="G18" s="133">
        <v>46</v>
      </c>
    </row>
    <row r="19" spans="1:7" x14ac:dyDescent="0.3">
      <c r="A19" s="323" t="s">
        <v>44</v>
      </c>
      <c r="B19" s="323" t="s">
        <v>45</v>
      </c>
      <c r="C19" s="323">
        <v>96.316564</v>
      </c>
      <c r="D19" s="323" t="s">
        <v>464</v>
      </c>
      <c r="E19" s="323" t="s">
        <v>1322</v>
      </c>
      <c r="F19" s="133">
        <v>4</v>
      </c>
      <c r="G19" s="133">
        <v>27</v>
      </c>
    </row>
    <row r="20" spans="1:7" x14ac:dyDescent="0.3">
      <c r="A20" s="323" t="s">
        <v>12</v>
      </c>
      <c r="B20" s="323" t="s">
        <v>11</v>
      </c>
      <c r="C20" s="323">
        <v>97.228835000000004</v>
      </c>
      <c r="D20" s="323" t="s">
        <v>464</v>
      </c>
      <c r="E20" s="323" t="s">
        <v>1322</v>
      </c>
      <c r="F20" s="133">
        <v>190</v>
      </c>
      <c r="G20" s="133">
        <v>928</v>
      </c>
    </row>
    <row r="21" spans="1:7" x14ac:dyDescent="0.3">
      <c r="A21" s="323" t="s">
        <v>12</v>
      </c>
      <c r="B21" s="323" t="s">
        <v>388</v>
      </c>
      <c r="C21" s="323">
        <v>97.298055000000005</v>
      </c>
      <c r="D21" s="323" t="s">
        <v>464</v>
      </c>
      <c r="E21" s="323" t="s">
        <v>1322</v>
      </c>
      <c r="F21" s="133">
        <v>80</v>
      </c>
      <c r="G21" s="133">
        <v>290</v>
      </c>
    </row>
    <row r="22" spans="1:7" x14ac:dyDescent="0.3">
      <c r="A22" s="323" t="s">
        <v>12</v>
      </c>
      <c r="B22" s="323" t="s">
        <v>389</v>
      </c>
      <c r="C22" s="323">
        <v>97.348405</v>
      </c>
      <c r="D22" s="323" t="s">
        <v>464</v>
      </c>
      <c r="E22" s="323" t="s">
        <v>1322</v>
      </c>
      <c r="F22" s="133">
        <v>223</v>
      </c>
      <c r="G22" s="133">
        <v>1067</v>
      </c>
    </row>
    <row r="23" spans="1:7" x14ac:dyDescent="0.3">
      <c r="A23" s="323" t="s">
        <v>915</v>
      </c>
      <c r="B23" s="323" t="s">
        <v>916</v>
      </c>
      <c r="C23" s="323">
        <v>96.312790000000007</v>
      </c>
      <c r="D23" s="323" t="s">
        <v>464</v>
      </c>
      <c r="E23" s="323" t="s">
        <v>424</v>
      </c>
      <c r="F23" s="133">
        <v>104</v>
      </c>
      <c r="G23" s="133">
        <v>510</v>
      </c>
    </row>
    <row r="24" spans="1:7" x14ac:dyDescent="0.3">
      <c r="A24" s="323" t="s">
        <v>362</v>
      </c>
      <c r="B24" s="323" t="s">
        <v>29</v>
      </c>
      <c r="C24" s="323">
        <v>98.475719999999995</v>
      </c>
      <c r="D24" s="323" t="s">
        <v>466</v>
      </c>
      <c r="E24" s="323" t="s">
        <v>424</v>
      </c>
      <c r="F24" s="133">
        <v>160</v>
      </c>
      <c r="G24" s="133">
        <v>830</v>
      </c>
    </row>
    <row r="25" spans="1:7" x14ac:dyDescent="0.3">
      <c r="A25" s="323" t="s">
        <v>194</v>
      </c>
      <c r="B25" s="323" t="s">
        <v>193</v>
      </c>
      <c r="C25" s="323">
        <v>97.573126000000002</v>
      </c>
      <c r="D25" s="323" t="s">
        <v>466</v>
      </c>
      <c r="E25" s="323" t="s">
        <v>936</v>
      </c>
      <c r="F25" s="133">
        <v>716</v>
      </c>
      <c r="G25" s="133">
        <v>3646</v>
      </c>
    </row>
    <row r="26" spans="1:7" x14ac:dyDescent="0.3">
      <c r="A26" s="323" t="s">
        <v>14</v>
      </c>
      <c r="B26" s="323" t="s">
        <v>13</v>
      </c>
      <c r="C26" s="323">
        <v>97.236919999999998</v>
      </c>
      <c r="D26" s="323" t="s">
        <v>464</v>
      </c>
      <c r="E26" s="323" t="s">
        <v>424</v>
      </c>
      <c r="F26" s="133">
        <v>41</v>
      </c>
      <c r="G26" s="133">
        <v>227</v>
      </c>
    </row>
    <row r="27" spans="1:7" x14ac:dyDescent="0.3">
      <c r="A27" s="323" t="s">
        <v>751</v>
      </c>
      <c r="B27" s="323" t="s">
        <v>752</v>
      </c>
      <c r="C27" s="323">
        <v>97.541793999999996</v>
      </c>
      <c r="D27" s="323" t="s">
        <v>466</v>
      </c>
      <c r="E27" s="323" t="s">
        <v>1322</v>
      </c>
      <c r="F27" s="133"/>
      <c r="G27" s="133">
        <v>872</v>
      </c>
    </row>
    <row r="28" spans="1:7" x14ac:dyDescent="0.3">
      <c r="A28" s="323" t="s">
        <v>892</v>
      </c>
      <c r="B28" s="323" t="s">
        <v>893</v>
      </c>
      <c r="C28" s="323">
        <v>97.561105999999995</v>
      </c>
      <c r="D28" s="323" t="s">
        <v>464</v>
      </c>
      <c r="E28" s="323" t="s">
        <v>1322</v>
      </c>
      <c r="F28" s="133">
        <v>10</v>
      </c>
      <c r="G28" s="133">
        <v>56</v>
      </c>
    </row>
    <row r="29" spans="1:7" x14ac:dyDescent="0.3">
      <c r="A29" s="323" t="s">
        <v>252</v>
      </c>
      <c r="B29" s="323" t="s">
        <v>251</v>
      </c>
      <c r="C29" s="323">
        <v>97.373361000000003</v>
      </c>
      <c r="D29" s="323" t="s">
        <v>464</v>
      </c>
      <c r="E29" s="323" t="s">
        <v>424</v>
      </c>
      <c r="F29" s="133">
        <v>199</v>
      </c>
      <c r="G29" s="133">
        <v>1118</v>
      </c>
    </row>
    <row r="30" spans="1:7" x14ac:dyDescent="0.3">
      <c r="A30" s="323" t="s">
        <v>254</v>
      </c>
      <c r="B30" s="323" t="s">
        <v>253</v>
      </c>
      <c r="C30" s="323">
        <v>97.379594999999995</v>
      </c>
      <c r="D30" s="323" t="s">
        <v>464</v>
      </c>
      <c r="E30" s="323" t="s">
        <v>936</v>
      </c>
      <c r="F30" s="133">
        <v>115</v>
      </c>
      <c r="G30" s="133">
        <v>562</v>
      </c>
    </row>
    <row r="31" spans="1:7" x14ac:dyDescent="0.3">
      <c r="A31" s="323" t="s">
        <v>196</v>
      </c>
      <c r="B31" s="323" t="s">
        <v>195</v>
      </c>
      <c r="C31" s="323">
        <v>97.568331999999998</v>
      </c>
      <c r="D31" s="323" t="s">
        <v>466</v>
      </c>
      <c r="E31" s="323" t="s">
        <v>936</v>
      </c>
      <c r="F31" s="133">
        <v>1497</v>
      </c>
      <c r="G31" s="133">
        <v>8461</v>
      </c>
    </row>
    <row r="32" spans="1:7" x14ac:dyDescent="0.3">
      <c r="A32" s="323" t="s">
        <v>474</v>
      </c>
      <c r="B32" s="323" t="s">
        <v>475</v>
      </c>
      <c r="C32" s="323">
        <v>97.343406999999999</v>
      </c>
      <c r="D32" s="323" t="s">
        <v>464</v>
      </c>
      <c r="E32" s="323" t="s">
        <v>1322</v>
      </c>
      <c r="F32" s="133">
        <v>3</v>
      </c>
      <c r="G32" s="133">
        <v>18</v>
      </c>
    </row>
    <row r="33" spans="1:7" x14ac:dyDescent="0.3">
      <c r="A33" s="323" t="s">
        <v>367</v>
      </c>
      <c r="B33" s="323" t="s">
        <v>381</v>
      </c>
      <c r="C33" s="323">
        <v>97.926813999999993</v>
      </c>
      <c r="D33" s="323" t="s">
        <v>464</v>
      </c>
      <c r="E33" s="323" t="s">
        <v>424</v>
      </c>
      <c r="F33" s="133">
        <v>56</v>
      </c>
      <c r="G33" s="133">
        <v>264</v>
      </c>
    </row>
    <row r="34" spans="1:7" x14ac:dyDescent="0.3">
      <c r="A34" s="323" t="s">
        <v>368</v>
      </c>
      <c r="B34" s="323" t="s">
        <v>382</v>
      </c>
      <c r="C34" s="323">
        <v>97.947360000000003</v>
      </c>
      <c r="D34" s="323" t="s">
        <v>464</v>
      </c>
      <c r="E34" s="323" t="s">
        <v>1048</v>
      </c>
      <c r="F34" s="133">
        <v>29</v>
      </c>
      <c r="G34" s="133">
        <v>138</v>
      </c>
    </row>
    <row r="35" spans="1:7" x14ac:dyDescent="0.3">
      <c r="A35" s="323" t="s">
        <v>256</v>
      </c>
      <c r="B35" s="323" t="s">
        <v>255</v>
      </c>
      <c r="C35" s="323">
        <v>97.405202777777802</v>
      </c>
      <c r="D35" s="323" t="s">
        <v>464</v>
      </c>
      <c r="E35" s="323" t="s">
        <v>424</v>
      </c>
      <c r="F35" s="133">
        <v>44</v>
      </c>
      <c r="G35" s="133">
        <v>197</v>
      </c>
    </row>
    <row r="36" spans="1:7" x14ac:dyDescent="0.3">
      <c r="A36" s="323" t="s">
        <v>174</v>
      </c>
      <c r="B36" s="323" t="s">
        <v>172</v>
      </c>
      <c r="C36" s="323">
        <v>96.922619999999995</v>
      </c>
      <c r="D36" s="323" t="s">
        <v>464</v>
      </c>
      <c r="E36" s="323" t="s">
        <v>424</v>
      </c>
      <c r="F36" s="133">
        <v>13</v>
      </c>
      <c r="G36" s="133">
        <v>70</v>
      </c>
    </row>
    <row r="37" spans="1:7" x14ac:dyDescent="0.3">
      <c r="A37" s="323" t="s">
        <v>198</v>
      </c>
      <c r="B37" s="323" t="s">
        <v>197</v>
      </c>
      <c r="C37" s="323">
        <v>97.625617000000005</v>
      </c>
      <c r="D37" s="323" t="s">
        <v>466</v>
      </c>
      <c r="E37" s="323" t="s">
        <v>935</v>
      </c>
      <c r="F37" s="133">
        <v>544</v>
      </c>
      <c r="G37" s="133">
        <v>2424</v>
      </c>
    </row>
    <row r="38" spans="1:7" x14ac:dyDescent="0.3">
      <c r="A38" s="323" t="s">
        <v>303</v>
      </c>
      <c r="B38" s="323" t="s">
        <v>302</v>
      </c>
      <c r="C38" s="323" t="s">
        <v>787</v>
      </c>
      <c r="D38" s="323" t="s">
        <v>464</v>
      </c>
      <c r="E38" s="323" t="s">
        <v>1322</v>
      </c>
      <c r="F38" s="133">
        <v>375</v>
      </c>
      <c r="G38" s="133">
        <v>1691</v>
      </c>
    </row>
    <row r="39" spans="1:7" x14ac:dyDescent="0.3">
      <c r="A39" s="323" t="s">
        <v>240</v>
      </c>
      <c r="B39" s="323" t="s">
        <v>239</v>
      </c>
      <c r="C39" s="323">
        <v>97.409035000000003</v>
      </c>
      <c r="D39" s="323" t="s">
        <v>464</v>
      </c>
      <c r="E39" s="323" t="s">
        <v>424</v>
      </c>
      <c r="F39" s="133">
        <v>102</v>
      </c>
      <c r="G39" s="133">
        <v>546</v>
      </c>
    </row>
    <row r="40" spans="1:7" x14ac:dyDescent="0.3">
      <c r="A40" s="323" t="s">
        <v>284</v>
      </c>
      <c r="B40" s="323" t="s">
        <v>283</v>
      </c>
      <c r="C40" s="323">
        <v>97.403402307692303</v>
      </c>
      <c r="D40" s="323" t="s">
        <v>464</v>
      </c>
      <c r="E40" s="323" t="s">
        <v>424</v>
      </c>
      <c r="F40" s="133">
        <v>138</v>
      </c>
      <c r="G40" s="133">
        <v>703</v>
      </c>
    </row>
    <row r="41" spans="1:7" x14ac:dyDescent="0.3">
      <c r="A41" s="323" t="s">
        <v>363</v>
      </c>
      <c r="B41" s="323" t="s">
        <v>376</v>
      </c>
      <c r="C41" s="323">
        <v>98.129990000000006</v>
      </c>
      <c r="D41" s="323" t="s">
        <v>464</v>
      </c>
      <c r="E41" s="323" t="s">
        <v>462</v>
      </c>
      <c r="F41" s="133">
        <v>143</v>
      </c>
      <c r="G41" s="133">
        <v>640</v>
      </c>
    </row>
    <row r="42" spans="1:7" x14ac:dyDescent="0.3">
      <c r="A42" s="323" t="s">
        <v>90</v>
      </c>
      <c r="B42" s="323" t="s">
        <v>89</v>
      </c>
      <c r="C42" s="323">
        <v>96.269199999999998</v>
      </c>
      <c r="D42" s="323" t="s">
        <v>464</v>
      </c>
      <c r="E42" s="323" t="s">
        <v>462</v>
      </c>
      <c r="F42" s="133">
        <v>19</v>
      </c>
      <c r="G42" s="133">
        <v>102</v>
      </c>
    </row>
    <row r="43" spans="1:7" x14ac:dyDescent="0.3">
      <c r="A43" s="323" t="s">
        <v>92</v>
      </c>
      <c r="B43" s="323" t="s">
        <v>91</v>
      </c>
      <c r="C43" s="323">
        <v>96.316400000000002</v>
      </c>
      <c r="D43" s="323" t="s">
        <v>464</v>
      </c>
      <c r="E43" s="323" t="s">
        <v>462</v>
      </c>
      <c r="F43" s="133">
        <v>12</v>
      </c>
      <c r="G43" s="133">
        <v>61</v>
      </c>
    </row>
    <row r="44" spans="1:7" x14ac:dyDescent="0.3">
      <c r="A44" s="323" t="s">
        <v>18</v>
      </c>
      <c r="B44" s="323" t="s">
        <v>17</v>
      </c>
      <c r="C44" s="323">
        <v>97.240183461538507</v>
      </c>
      <c r="D44" s="323" t="s">
        <v>464</v>
      </c>
      <c r="E44" s="323" t="s">
        <v>462</v>
      </c>
      <c r="F44" s="133">
        <v>129</v>
      </c>
      <c r="G44" s="133">
        <v>742</v>
      </c>
    </row>
    <row r="45" spans="1:7" x14ac:dyDescent="0.3">
      <c r="A45" s="323" t="s">
        <v>186</v>
      </c>
      <c r="B45" s="323" t="s">
        <v>184</v>
      </c>
      <c r="C45" s="323">
        <v>97.718582999999995</v>
      </c>
      <c r="D45" s="323" t="s">
        <v>464</v>
      </c>
      <c r="E45" s="323" t="s">
        <v>424</v>
      </c>
      <c r="F45" s="133">
        <v>40</v>
      </c>
      <c r="G45" s="133">
        <v>240</v>
      </c>
    </row>
    <row r="46" spans="1:7" x14ac:dyDescent="0.3">
      <c r="A46" s="323" t="s">
        <v>223</v>
      </c>
      <c r="B46" s="323" t="s">
        <v>222</v>
      </c>
      <c r="C46" s="323">
        <v>97.724566999999993</v>
      </c>
      <c r="D46" s="323" t="s">
        <v>464</v>
      </c>
      <c r="E46" s="323" t="s">
        <v>935</v>
      </c>
      <c r="F46" s="133">
        <v>129</v>
      </c>
      <c r="G46" s="133">
        <v>640</v>
      </c>
    </row>
    <row r="47" spans="1:7" x14ac:dyDescent="0.3">
      <c r="A47" s="323" t="s">
        <v>190</v>
      </c>
      <c r="B47" s="323" t="s">
        <v>189</v>
      </c>
      <c r="C47" s="323">
        <v>97.717133000000004</v>
      </c>
      <c r="D47" s="323" t="s">
        <v>464</v>
      </c>
      <c r="E47" s="323" t="s">
        <v>424</v>
      </c>
      <c r="F47" s="133">
        <v>203</v>
      </c>
      <c r="G47" s="133">
        <v>1138</v>
      </c>
    </row>
    <row r="48" spans="1:7" x14ac:dyDescent="0.3">
      <c r="A48" s="323" t="s">
        <v>319</v>
      </c>
      <c r="B48" s="323" t="s">
        <v>318</v>
      </c>
      <c r="C48" s="323">
        <v>97.451965000000001</v>
      </c>
      <c r="D48" s="323" t="s">
        <v>464</v>
      </c>
      <c r="E48" s="323" t="s">
        <v>424</v>
      </c>
      <c r="F48" s="133">
        <v>30</v>
      </c>
      <c r="G48" s="133">
        <v>176</v>
      </c>
    </row>
    <row r="49" spans="1:7" x14ac:dyDescent="0.3">
      <c r="A49" s="323" t="s">
        <v>321</v>
      </c>
      <c r="B49" s="323" t="s">
        <v>320</v>
      </c>
      <c r="C49" s="323">
        <v>97.715230000000005</v>
      </c>
      <c r="D49" s="323" t="s">
        <v>466</v>
      </c>
      <c r="E49" s="323" t="s">
        <v>936</v>
      </c>
      <c r="F49" s="133">
        <v>418</v>
      </c>
      <c r="G49" s="133">
        <v>1569</v>
      </c>
    </row>
    <row r="50" spans="1:7" x14ac:dyDescent="0.3">
      <c r="A50" s="323" t="s">
        <v>327</v>
      </c>
      <c r="B50" s="323" t="s">
        <v>326</v>
      </c>
      <c r="C50" s="323">
        <v>97.433419259259296</v>
      </c>
      <c r="D50" s="323" t="s">
        <v>464</v>
      </c>
      <c r="E50" s="323" t="s">
        <v>462</v>
      </c>
      <c r="F50" s="133">
        <v>339</v>
      </c>
      <c r="G50" s="133">
        <v>1975</v>
      </c>
    </row>
    <row r="51" spans="1:7" x14ac:dyDescent="0.3">
      <c r="A51" s="323" t="s">
        <v>329</v>
      </c>
      <c r="B51" s="323" t="s">
        <v>328</v>
      </c>
      <c r="C51" s="323">
        <v>97.437782499999997</v>
      </c>
      <c r="D51" s="323" t="s">
        <v>464</v>
      </c>
      <c r="E51" s="323" t="s">
        <v>936</v>
      </c>
      <c r="F51" s="133">
        <v>285</v>
      </c>
      <c r="G51" s="133">
        <v>1508</v>
      </c>
    </row>
    <row r="52" spans="1:7" x14ac:dyDescent="0.3">
      <c r="A52" s="323" t="s">
        <v>323</v>
      </c>
      <c r="B52" s="323" t="s">
        <v>322</v>
      </c>
      <c r="C52" s="323">
        <v>97.434855869565197</v>
      </c>
      <c r="D52" s="323" t="s">
        <v>464</v>
      </c>
      <c r="E52" s="323" t="s">
        <v>424</v>
      </c>
      <c r="F52" s="133">
        <v>510</v>
      </c>
      <c r="G52" s="133">
        <v>2680</v>
      </c>
    </row>
    <row r="53" spans="1:7" x14ac:dyDescent="0.3">
      <c r="A53" s="323" t="s">
        <v>325</v>
      </c>
      <c r="B53" s="323" t="s">
        <v>324</v>
      </c>
      <c r="C53" s="323">
        <v>97.426536944444507</v>
      </c>
      <c r="D53" s="323" t="s">
        <v>464</v>
      </c>
      <c r="E53" s="323" t="s">
        <v>424</v>
      </c>
      <c r="F53" s="133">
        <v>47</v>
      </c>
      <c r="G53" s="133">
        <v>208</v>
      </c>
    </row>
    <row r="54" spans="1:7" x14ac:dyDescent="0.3">
      <c r="A54" s="323" t="s">
        <v>811</v>
      </c>
      <c r="B54" s="323" t="s">
        <v>812</v>
      </c>
      <c r="C54" s="323">
        <v>97.225881000000001</v>
      </c>
      <c r="D54" s="323" t="s">
        <v>464</v>
      </c>
      <c r="E54" s="323" t="s">
        <v>424</v>
      </c>
      <c r="F54" s="133">
        <v>432</v>
      </c>
      <c r="G54" s="133">
        <v>2149</v>
      </c>
    </row>
    <row r="55" spans="1:7" x14ac:dyDescent="0.3">
      <c r="A55" s="323" t="s">
        <v>847</v>
      </c>
      <c r="B55" s="323" t="s">
        <v>846</v>
      </c>
      <c r="C55" s="323">
        <v>97.227057000000002</v>
      </c>
      <c r="D55" s="323" t="s">
        <v>464</v>
      </c>
      <c r="E55" s="323" t="s">
        <v>935</v>
      </c>
      <c r="F55" s="133">
        <v>169</v>
      </c>
      <c r="G55" s="133">
        <v>775</v>
      </c>
    </row>
    <row r="56" spans="1:7" x14ac:dyDescent="0.3">
      <c r="A56" s="323" t="s">
        <v>258</v>
      </c>
      <c r="B56" s="323" t="s">
        <v>257</v>
      </c>
      <c r="C56" s="323">
        <v>97.4113064583333</v>
      </c>
      <c r="D56" s="323" t="s">
        <v>464</v>
      </c>
      <c r="E56" s="323" t="s">
        <v>424</v>
      </c>
      <c r="F56" s="133">
        <v>61</v>
      </c>
      <c r="G56" s="133">
        <v>302</v>
      </c>
    </row>
    <row r="57" spans="1:7" x14ac:dyDescent="0.3">
      <c r="A57" s="323" t="s">
        <v>202</v>
      </c>
      <c r="B57" s="323" t="s">
        <v>201</v>
      </c>
      <c r="C57" s="323">
        <v>97.325019999999995</v>
      </c>
      <c r="D57" s="323" t="s">
        <v>464</v>
      </c>
      <c r="E57" s="323" t="s">
        <v>935</v>
      </c>
      <c r="F57" s="133">
        <v>281</v>
      </c>
      <c r="G57" s="133">
        <v>1256</v>
      </c>
    </row>
    <row r="58" spans="1:7" x14ac:dyDescent="0.3">
      <c r="A58" s="323" t="s">
        <v>260</v>
      </c>
      <c r="B58" s="323" t="s">
        <v>259</v>
      </c>
      <c r="C58" s="323">
        <v>97.418694000000002</v>
      </c>
      <c r="D58" s="323" t="s">
        <v>464</v>
      </c>
      <c r="E58" s="323" t="s">
        <v>424</v>
      </c>
      <c r="F58" s="133">
        <v>103</v>
      </c>
      <c r="G58" s="133">
        <v>586</v>
      </c>
    </row>
    <row r="59" spans="1:7" x14ac:dyDescent="0.3">
      <c r="A59" s="323" t="s">
        <v>160</v>
      </c>
      <c r="B59" s="323" t="s">
        <v>159</v>
      </c>
      <c r="C59" s="323">
        <v>97.589979999999997</v>
      </c>
      <c r="D59" s="323" t="s">
        <v>464</v>
      </c>
      <c r="E59" s="323" t="s">
        <v>424</v>
      </c>
      <c r="F59" s="133">
        <v>127</v>
      </c>
      <c r="G59" s="133">
        <v>649</v>
      </c>
    </row>
    <row r="60" spans="1:7" x14ac:dyDescent="0.3">
      <c r="A60" s="323" t="s">
        <v>938</v>
      </c>
      <c r="B60" s="323" t="s">
        <v>939</v>
      </c>
      <c r="C60" s="323">
        <v>97.590767</v>
      </c>
      <c r="D60" s="323" t="s">
        <v>464</v>
      </c>
      <c r="E60" s="323" t="s">
        <v>424</v>
      </c>
      <c r="F60" s="133">
        <v>154</v>
      </c>
      <c r="G60" s="133">
        <v>670</v>
      </c>
    </row>
    <row r="61" spans="1:7" x14ac:dyDescent="0.3">
      <c r="A61" s="323" t="s">
        <v>154</v>
      </c>
      <c r="B61" s="323" t="s">
        <v>153</v>
      </c>
      <c r="C61" s="323">
        <v>97.578490000000002</v>
      </c>
      <c r="D61" s="323" t="s">
        <v>464</v>
      </c>
      <c r="E61" s="323" t="s">
        <v>935</v>
      </c>
      <c r="F61" s="133">
        <v>446</v>
      </c>
      <c r="G61" s="133">
        <v>2329</v>
      </c>
    </row>
    <row r="62" spans="1:7" x14ac:dyDescent="0.3">
      <c r="A62" s="323" t="s">
        <v>911</v>
      </c>
      <c r="B62" s="323" t="s">
        <v>912</v>
      </c>
      <c r="C62" s="323">
        <v>97.578367</v>
      </c>
      <c r="D62" s="323" t="s">
        <v>464</v>
      </c>
      <c r="E62" s="323" t="s">
        <v>935</v>
      </c>
      <c r="F62" s="133">
        <v>156</v>
      </c>
      <c r="G62" s="133">
        <v>711</v>
      </c>
    </row>
    <row r="63" spans="1:7" x14ac:dyDescent="0.3">
      <c r="A63" s="323" t="s">
        <v>156</v>
      </c>
      <c r="B63" s="323" t="s">
        <v>155</v>
      </c>
      <c r="C63" s="323">
        <v>97.588291999999996</v>
      </c>
      <c r="D63" s="323" t="s">
        <v>464</v>
      </c>
      <c r="E63" s="323" t="s">
        <v>1322</v>
      </c>
      <c r="F63" s="133">
        <v>175</v>
      </c>
      <c r="G63" s="133">
        <v>834</v>
      </c>
    </row>
    <row r="64" spans="1:7" x14ac:dyDescent="0.3">
      <c r="A64" s="323" t="s">
        <v>167</v>
      </c>
      <c r="B64" s="323" t="s">
        <v>165</v>
      </c>
      <c r="C64" s="323">
        <v>97.124403000000001</v>
      </c>
      <c r="D64" s="323" t="s">
        <v>464</v>
      </c>
      <c r="E64" s="323" t="s">
        <v>424</v>
      </c>
      <c r="F64" s="133">
        <v>33</v>
      </c>
      <c r="G64" s="133">
        <v>182</v>
      </c>
    </row>
    <row r="65" spans="1:7" x14ac:dyDescent="0.3">
      <c r="A65" s="323" t="s">
        <v>760</v>
      </c>
      <c r="B65" s="323" t="s">
        <v>761</v>
      </c>
      <c r="C65" s="323">
        <v>97.116680000000002</v>
      </c>
      <c r="D65" s="323" t="s">
        <v>464</v>
      </c>
      <c r="E65" s="323" t="s">
        <v>1048</v>
      </c>
      <c r="F65" s="133">
        <v>29</v>
      </c>
      <c r="G65" s="133">
        <v>171</v>
      </c>
    </row>
    <row r="66" spans="1:7" x14ac:dyDescent="0.3">
      <c r="A66" s="323" t="s">
        <v>152</v>
      </c>
      <c r="B66" s="323" t="s">
        <v>150</v>
      </c>
      <c r="C66" s="323">
        <v>97.291820000000001</v>
      </c>
      <c r="D66" s="323" t="s">
        <v>464</v>
      </c>
      <c r="E66" s="323" t="s">
        <v>424</v>
      </c>
      <c r="F66" s="133">
        <v>185</v>
      </c>
      <c r="G66" s="133">
        <v>830</v>
      </c>
    </row>
    <row r="67" spans="1:7" x14ac:dyDescent="0.3">
      <c r="A67" s="323" t="s">
        <v>262</v>
      </c>
      <c r="B67" s="323" t="s">
        <v>261</v>
      </c>
      <c r="C67" s="323">
        <v>97.2843958974359</v>
      </c>
      <c r="D67" s="323" t="s">
        <v>464</v>
      </c>
      <c r="E67" s="323" t="s">
        <v>462</v>
      </c>
      <c r="F67" s="133">
        <v>24</v>
      </c>
      <c r="G67" s="133">
        <v>97</v>
      </c>
    </row>
    <row r="68" spans="1:7" x14ac:dyDescent="0.3">
      <c r="A68" s="323" t="s">
        <v>264</v>
      </c>
      <c r="B68" s="323" t="s">
        <v>263</v>
      </c>
      <c r="C68" s="323">
        <v>97.290952037037002</v>
      </c>
      <c r="D68" s="323" t="s">
        <v>464</v>
      </c>
      <c r="E68" s="323" t="s">
        <v>462</v>
      </c>
      <c r="F68" s="133">
        <v>14</v>
      </c>
      <c r="G68" s="133">
        <v>76</v>
      </c>
    </row>
    <row r="69" spans="1:7" x14ac:dyDescent="0.3">
      <c r="A69" s="323" t="s">
        <v>100</v>
      </c>
      <c r="B69" s="323" t="s">
        <v>99</v>
      </c>
      <c r="C69" s="323">
        <v>96.319829999999996</v>
      </c>
      <c r="D69" s="323" t="s">
        <v>464</v>
      </c>
      <c r="E69" s="323" t="s">
        <v>1322</v>
      </c>
      <c r="F69" s="133">
        <v>4</v>
      </c>
      <c r="G69" s="133">
        <v>15</v>
      </c>
    </row>
    <row r="70" spans="1:7" x14ac:dyDescent="0.3">
      <c r="A70" s="323" t="s">
        <v>209</v>
      </c>
      <c r="B70" s="323" t="s">
        <v>208</v>
      </c>
      <c r="C70" s="323">
        <v>97.344359999999995</v>
      </c>
      <c r="D70" s="323" t="s">
        <v>464</v>
      </c>
      <c r="E70" s="323" t="s">
        <v>424</v>
      </c>
      <c r="F70" s="133">
        <v>415</v>
      </c>
      <c r="G70" s="133">
        <v>1898</v>
      </c>
    </row>
    <row r="71" spans="1:7" x14ac:dyDescent="0.3">
      <c r="A71" s="323" t="s">
        <v>369</v>
      </c>
      <c r="B71" s="323" t="s">
        <v>147</v>
      </c>
      <c r="C71" s="323">
        <v>98.220614999999995</v>
      </c>
      <c r="D71" s="323" t="s">
        <v>464</v>
      </c>
      <c r="E71" s="323" t="s">
        <v>424</v>
      </c>
      <c r="F71" s="133">
        <v>42</v>
      </c>
      <c r="G71" s="133">
        <v>234</v>
      </c>
    </row>
    <row r="72" spans="1:7" x14ac:dyDescent="0.3">
      <c r="A72" s="323" t="s">
        <v>943</v>
      </c>
      <c r="B72" s="323" t="s">
        <v>942</v>
      </c>
      <c r="C72" s="323">
        <v>98.248999999999995</v>
      </c>
      <c r="D72" s="323" t="s">
        <v>464</v>
      </c>
      <c r="E72" s="323" t="s">
        <v>1048</v>
      </c>
      <c r="F72" s="133">
        <v>22</v>
      </c>
      <c r="G72" s="133">
        <v>105</v>
      </c>
    </row>
    <row r="73" spans="1:7" x14ac:dyDescent="0.3">
      <c r="A73" s="323" t="s">
        <v>903</v>
      </c>
      <c r="B73" s="323" t="s">
        <v>904</v>
      </c>
      <c r="C73" s="323">
        <v>97.909400000000005</v>
      </c>
      <c r="D73" s="323" t="s">
        <v>464</v>
      </c>
      <c r="E73" s="323" t="s">
        <v>424</v>
      </c>
      <c r="F73" s="133">
        <v>42</v>
      </c>
      <c r="G73" s="133">
        <v>192</v>
      </c>
    </row>
    <row r="74" spans="1:7" x14ac:dyDescent="0.3">
      <c r="A74" s="323" t="s">
        <v>913</v>
      </c>
      <c r="B74" s="323" t="s">
        <v>914</v>
      </c>
      <c r="C74" s="323">
        <v>97.911647000000002</v>
      </c>
      <c r="D74" s="323" t="s">
        <v>464</v>
      </c>
      <c r="E74" s="323" t="s">
        <v>1048</v>
      </c>
      <c r="F74" s="133">
        <v>18</v>
      </c>
      <c r="G74" s="133">
        <v>80</v>
      </c>
    </row>
    <row r="75" spans="1:7" x14ac:dyDescent="0.3">
      <c r="A75" s="323" t="s">
        <v>8</v>
      </c>
      <c r="B75" s="323" t="s">
        <v>7</v>
      </c>
      <c r="C75" s="323">
        <v>97.234200000000001</v>
      </c>
      <c r="D75" s="323" t="s">
        <v>464</v>
      </c>
      <c r="E75" s="323" t="s">
        <v>462</v>
      </c>
      <c r="F75" s="133">
        <v>14</v>
      </c>
      <c r="G75" s="133">
        <v>59</v>
      </c>
    </row>
    <row r="76" spans="1:7" x14ac:dyDescent="0.3">
      <c r="A76" s="323" t="s">
        <v>213</v>
      </c>
      <c r="B76" s="323" t="s">
        <v>212</v>
      </c>
      <c r="C76" s="323">
        <v>97.407787999999996</v>
      </c>
      <c r="D76" s="323" t="s">
        <v>464</v>
      </c>
      <c r="E76" s="323" t="s">
        <v>1322</v>
      </c>
      <c r="F76" s="133">
        <v>47</v>
      </c>
      <c r="G76" s="133">
        <v>153</v>
      </c>
    </row>
    <row r="77" spans="1:7" x14ac:dyDescent="0.3">
      <c r="A77" s="323" t="s">
        <v>291</v>
      </c>
      <c r="B77" s="323" t="s">
        <v>290</v>
      </c>
      <c r="C77" s="323">
        <v>97.681970000000007</v>
      </c>
      <c r="D77" s="323" t="s">
        <v>464</v>
      </c>
      <c r="E77" s="323" t="s">
        <v>424</v>
      </c>
      <c r="F77" s="133">
        <v>75</v>
      </c>
      <c r="G77" s="133">
        <v>367</v>
      </c>
    </row>
    <row r="78" spans="1:7" x14ac:dyDescent="0.3">
      <c r="A78" s="323" t="s">
        <v>289</v>
      </c>
      <c r="B78" s="323" t="s">
        <v>287</v>
      </c>
      <c r="C78" s="323">
        <v>97.669557999999995</v>
      </c>
      <c r="D78" s="323" t="s">
        <v>464</v>
      </c>
      <c r="E78" s="323" t="s">
        <v>424</v>
      </c>
      <c r="F78" s="133">
        <v>66</v>
      </c>
      <c r="G78" s="133">
        <v>336</v>
      </c>
    </row>
    <row r="79" spans="1:7" x14ac:dyDescent="0.3">
      <c r="A79" s="323" t="s">
        <v>905</v>
      </c>
      <c r="B79" s="323" t="s">
        <v>906</v>
      </c>
      <c r="C79" s="323">
        <v>97.700940000000003</v>
      </c>
      <c r="D79" s="323" t="s">
        <v>464</v>
      </c>
      <c r="E79" s="323" t="s">
        <v>424</v>
      </c>
      <c r="F79" s="133">
        <v>38</v>
      </c>
      <c r="G79" s="133">
        <v>200</v>
      </c>
    </row>
    <row r="80" spans="1:7" x14ac:dyDescent="0.3">
      <c r="A80" s="323" t="s">
        <v>372</v>
      </c>
      <c r="B80" s="323" t="s">
        <v>294</v>
      </c>
      <c r="C80" s="323">
        <v>97.670360000000002</v>
      </c>
      <c r="D80" s="323" t="s">
        <v>464</v>
      </c>
      <c r="E80" s="323" t="s">
        <v>1048</v>
      </c>
      <c r="F80" s="133">
        <v>44</v>
      </c>
      <c r="G80" s="133">
        <v>223</v>
      </c>
    </row>
    <row r="81" spans="1:7" x14ac:dyDescent="0.3">
      <c r="A81" s="323" t="s">
        <v>149</v>
      </c>
      <c r="B81" s="323" t="s">
        <v>148</v>
      </c>
      <c r="C81" s="323">
        <v>97.818979999999996</v>
      </c>
      <c r="D81" s="323" t="s">
        <v>464</v>
      </c>
      <c r="E81" s="323" t="s">
        <v>424</v>
      </c>
      <c r="F81" s="133">
        <v>58</v>
      </c>
      <c r="G81" s="133">
        <v>273</v>
      </c>
    </row>
    <row r="82" spans="1:7" x14ac:dyDescent="0.3">
      <c r="A82" s="323" t="s">
        <v>551</v>
      </c>
      <c r="B82" s="323" t="s">
        <v>46</v>
      </c>
      <c r="C82" s="323">
        <v>96.339590000000001</v>
      </c>
      <c r="D82" s="323" t="s">
        <v>464</v>
      </c>
      <c r="E82" s="323" t="s">
        <v>1322</v>
      </c>
      <c r="F82" s="133">
        <v>11</v>
      </c>
      <c r="G82" s="133">
        <v>46</v>
      </c>
    </row>
    <row r="83" spans="1:7" x14ac:dyDescent="0.3">
      <c r="A83" s="323" t="s">
        <v>759</v>
      </c>
      <c r="B83" s="323" t="s">
        <v>296</v>
      </c>
      <c r="C83" s="323">
        <v>97.404089999999997</v>
      </c>
      <c r="D83" s="323" t="s">
        <v>464</v>
      </c>
      <c r="E83" s="323" t="s">
        <v>424</v>
      </c>
      <c r="F83" s="133">
        <v>41</v>
      </c>
      <c r="G83" s="133">
        <v>179</v>
      </c>
    </row>
    <row r="84" spans="1:7" x14ac:dyDescent="0.3">
      <c r="A84" s="323" t="s">
        <v>917</v>
      </c>
      <c r="B84" s="323" t="s">
        <v>910</v>
      </c>
      <c r="C84" s="323">
        <v>97.709879999999998</v>
      </c>
      <c r="D84" s="323" t="s">
        <v>464</v>
      </c>
      <c r="E84" s="323" t="s">
        <v>424</v>
      </c>
      <c r="F84" s="133">
        <v>126</v>
      </c>
      <c r="G84" s="133">
        <v>575</v>
      </c>
    </row>
    <row r="85" spans="1:7" x14ac:dyDescent="0.3">
      <c r="A85" s="323" t="s">
        <v>270</v>
      </c>
      <c r="B85" s="323" t="s">
        <v>269</v>
      </c>
      <c r="C85" s="323">
        <v>97.359320179999997</v>
      </c>
      <c r="D85" s="323" t="s">
        <v>464</v>
      </c>
      <c r="E85" s="323" t="s">
        <v>936</v>
      </c>
      <c r="F85" s="133">
        <v>58</v>
      </c>
      <c r="G85" s="133">
        <v>308</v>
      </c>
    </row>
    <row r="86" spans="1:7" x14ac:dyDescent="0.3">
      <c r="A86" s="323" t="s">
        <v>20</v>
      </c>
      <c r="B86" s="323" t="s">
        <v>19</v>
      </c>
      <c r="C86" s="323">
        <v>97.315860000000001</v>
      </c>
      <c r="D86" s="323" t="s">
        <v>464</v>
      </c>
      <c r="E86" s="323" t="s">
        <v>935</v>
      </c>
      <c r="F86" s="133">
        <v>15</v>
      </c>
      <c r="G86" s="133">
        <v>68</v>
      </c>
    </row>
    <row r="87" spans="1:7" x14ac:dyDescent="0.3">
      <c r="A87" s="323" t="s">
        <v>108</v>
      </c>
      <c r="B87" s="323" t="s">
        <v>107</v>
      </c>
      <c r="C87" s="323">
        <v>96.341352999999998</v>
      </c>
      <c r="D87" s="323" t="s">
        <v>464</v>
      </c>
      <c r="E87" s="323" t="s">
        <v>936</v>
      </c>
      <c r="F87" s="133">
        <v>49</v>
      </c>
      <c r="G87" s="133">
        <v>230</v>
      </c>
    </row>
    <row r="88" spans="1:7" x14ac:dyDescent="0.3">
      <c r="A88" s="323" t="s">
        <v>535</v>
      </c>
      <c r="B88" s="323" t="s">
        <v>772</v>
      </c>
      <c r="C88" s="323">
        <v>98.352670000000003</v>
      </c>
      <c r="D88" s="323" t="s">
        <v>466</v>
      </c>
      <c r="E88" s="323" t="s">
        <v>1322</v>
      </c>
      <c r="F88" s="133">
        <v>67</v>
      </c>
      <c r="G88" s="133">
        <v>392</v>
      </c>
    </row>
    <row r="89" spans="1:7" x14ac:dyDescent="0.3">
      <c r="A89" s="323" t="s">
        <v>178</v>
      </c>
      <c r="B89" s="323" t="s">
        <v>177</v>
      </c>
      <c r="C89" s="323">
        <v>96.948740000000001</v>
      </c>
      <c r="D89" s="323" t="s">
        <v>464</v>
      </c>
      <c r="E89" s="323" t="s">
        <v>424</v>
      </c>
      <c r="F89" s="133">
        <v>10</v>
      </c>
      <c r="G89" s="133">
        <v>41</v>
      </c>
    </row>
    <row r="90" spans="1:7" x14ac:dyDescent="0.3">
      <c r="A90" s="323" t="s">
        <v>342</v>
      </c>
      <c r="B90" s="323" t="s">
        <v>341</v>
      </c>
      <c r="C90" s="323">
        <v>97.345039</v>
      </c>
      <c r="D90" s="323" t="s">
        <v>464</v>
      </c>
      <c r="E90" s="323" t="s">
        <v>462</v>
      </c>
      <c r="F90" s="133">
        <v>20</v>
      </c>
      <c r="G90" s="133">
        <v>86</v>
      </c>
    </row>
    <row r="91" spans="1:7" x14ac:dyDescent="0.3">
      <c r="A91" s="323" t="s">
        <v>286</v>
      </c>
      <c r="B91" s="323" t="s">
        <v>285</v>
      </c>
      <c r="C91" s="323">
        <v>96.364949999999993</v>
      </c>
      <c r="D91" s="323" t="s">
        <v>464</v>
      </c>
      <c r="E91" s="323" t="s">
        <v>424</v>
      </c>
      <c r="F91" s="133">
        <v>24</v>
      </c>
      <c r="G91" s="133">
        <v>115</v>
      </c>
    </row>
    <row r="92" spans="1:7" x14ac:dyDescent="0.3">
      <c r="A92" s="323" t="s">
        <v>215</v>
      </c>
      <c r="B92" s="323" t="s">
        <v>214</v>
      </c>
      <c r="C92" s="323">
        <v>97.669366999999994</v>
      </c>
      <c r="D92" s="323" t="s">
        <v>466</v>
      </c>
      <c r="E92" s="323" t="s">
        <v>935</v>
      </c>
      <c r="F92" s="133">
        <v>356</v>
      </c>
      <c r="G92" s="133">
        <v>1787</v>
      </c>
    </row>
    <row r="93" spans="1:7" x14ac:dyDescent="0.3">
      <c r="A93" s="323" t="s">
        <v>268</v>
      </c>
      <c r="B93" s="323" t="s">
        <v>267</v>
      </c>
      <c r="C93" s="323">
        <v>97.394547000000003</v>
      </c>
      <c r="D93" s="323" t="s">
        <v>464</v>
      </c>
      <c r="E93" s="323" t="s">
        <v>424</v>
      </c>
      <c r="F93" s="133">
        <v>67</v>
      </c>
      <c r="G93" s="133">
        <v>296</v>
      </c>
    </row>
    <row r="94" spans="1:7" x14ac:dyDescent="0.3">
      <c r="A94" s="323" t="s">
        <v>229</v>
      </c>
      <c r="B94" s="323" t="s">
        <v>228</v>
      </c>
      <c r="C94" s="323">
        <v>97.724483000000006</v>
      </c>
      <c r="D94" s="323" t="s">
        <v>464</v>
      </c>
      <c r="E94" s="323" t="s">
        <v>424</v>
      </c>
      <c r="F94" s="133">
        <v>48</v>
      </c>
      <c r="G94" s="133">
        <v>293</v>
      </c>
    </row>
    <row r="95" spans="1:7" x14ac:dyDescent="0.3">
      <c r="A95" s="323" t="s">
        <v>272</v>
      </c>
      <c r="B95" s="323" t="s">
        <v>271</v>
      </c>
      <c r="C95" s="323">
        <v>97.4345</v>
      </c>
      <c r="D95" s="323" t="s">
        <v>464</v>
      </c>
      <c r="E95" s="323" t="s">
        <v>936</v>
      </c>
      <c r="F95" s="133">
        <v>75</v>
      </c>
      <c r="G95" s="133">
        <v>414</v>
      </c>
    </row>
    <row r="96" spans="1:7" x14ac:dyDescent="0.3">
      <c r="A96" s="323" t="s">
        <v>219</v>
      </c>
      <c r="B96" s="323" t="s">
        <v>218</v>
      </c>
      <c r="C96" s="323">
        <v>97.752667000000002</v>
      </c>
      <c r="D96" s="323" t="s">
        <v>466</v>
      </c>
      <c r="E96" s="323" t="s">
        <v>935</v>
      </c>
      <c r="F96" s="133">
        <v>651</v>
      </c>
      <c r="G96" s="133">
        <v>3631</v>
      </c>
    </row>
    <row r="97" spans="1:7" x14ac:dyDescent="0.3">
      <c r="A97" s="323" t="s">
        <v>790</v>
      </c>
      <c r="B97" s="323" t="s">
        <v>789</v>
      </c>
      <c r="C97" s="323">
        <v>98.377780000000001</v>
      </c>
      <c r="D97" s="323" t="s">
        <v>464</v>
      </c>
      <c r="E97" s="323" t="s">
        <v>936</v>
      </c>
      <c r="F97" s="133">
        <v>57</v>
      </c>
      <c r="G97" s="133">
        <v>270</v>
      </c>
    </row>
    <row r="98" spans="1:7" x14ac:dyDescent="0.3">
      <c r="A98" s="323" t="s">
        <v>364</v>
      </c>
      <c r="B98" s="323" t="s">
        <v>374</v>
      </c>
      <c r="C98" s="323">
        <v>97.252650000000003</v>
      </c>
      <c r="D98" s="323" t="s">
        <v>464</v>
      </c>
      <c r="E98" s="323" t="s">
        <v>424</v>
      </c>
      <c r="F98" s="133">
        <v>147</v>
      </c>
      <c r="G98" s="133">
        <v>771</v>
      </c>
    </row>
    <row r="99" spans="1:7" x14ac:dyDescent="0.3">
      <c r="A99" s="323" t="s">
        <v>353</v>
      </c>
      <c r="B99" s="323" t="s">
        <v>352</v>
      </c>
      <c r="C99" s="323">
        <v>97.990555999999998</v>
      </c>
      <c r="D99" s="323" t="s">
        <v>466</v>
      </c>
      <c r="E99" s="323" t="s">
        <v>936</v>
      </c>
      <c r="F99" s="133">
        <v>88</v>
      </c>
      <c r="G99" s="133">
        <v>558</v>
      </c>
    </row>
    <row r="100" spans="1:7" x14ac:dyDescent="0.3">
      <c r="A100" s="323" t="s">
        <v>317</v>
      </c>
      <c r="B100" s="323" t="s">
        <v>316</v>
      </c>
      <c r="C100" s="323">
        <v>97.441166388888902</v>
      </c>
      <c r="D100" s="323" t="s">
        <v>464</v>
      </c>
      <c r="E100" s="323" t="s">
        <v>462</v>
      </c>
      <c r="F100" s="133">
        <v>119</v>
      </c>
      <c r="G100" s="133">
        <v>483</v>
      </c>
    </row>
    <row r="101" spans="1:7" x14ac:dyDescent="0.3">
      <c r="A101" s="323" t="s">
        <v>340</v>
      </c>
      <c r="B101" s="323" t="s">
        <v>339</v>
      </c>
      <c r="C101" s="323">
        <v>97.438432380952406</v>
      </c>
      <c r="D101" s="323" t="s">
        <v>464</v>
      </c>
      <c r="E101" s="323" t="s">
        <v>424</v>
      </c>
      <c r="F101" s="133">
        <v>63</v>
      </c>
      <c r="G101" s="133">
        <v>321</v>
      </c>
    </row>
    <row r="102" spans="1:7" x14ac:dyDescent="0.3">
      <c r="A102" s="323" t="s">
        <v>337</v>
      </c>
      <c r="B102" s="323" t="s">
        <v>336</v>
      </c>
      <c r="C102" s="323">
        <v>97.437472666666693</v>
      </c>
      <c r="D102" s="323" t="s">
        <v>464</v>
      </c>
      <c r="E102" s="323" t="s">
        <v>462</v>
      </c>
      <c r="F102" s="133">
        <v>29</v>
      </c>
      <c r="G102" s="133">
        <v>160</v>
      </c>
    </row>
    <row r="103" spans="1:7" x14ac:dyDescent="0.3">
      <c r="A103" s="323" t="s">
        <v>349</v>
      </c>
      <c r="B103" s="323" t="s">
        <v>348</v>
      </c>
      <c r="C103" s="323">
        <v>97.432495000000003</v>
      </c>
      <c r="D103" s="323" t="s">
        <v>464</v>
      </c>
      <c r="E103" s="323" t="s">
        <v>462</v>
      </c>
      <c r="F103" s="133">
        <v>92</v>
      </c>
      <c r="G103" s="133">
        <v>499</v>
      </c>
    </row>
    <row r="104" spans="1:7" x14ac:dyDescent="0.3">
      <c r="A104" s="323" t="s">
        <v>118</v>
      </c>
      <c r="B104" s="323" t="s">
        <v>117</v>
      </c>
      <c r="C104" s="323">
        <v>96.279200000000003</v>
      </c>
      <c r="D104" s="323" t="s">
        <v>464</v>
      </c>
      <c r="E104" s="323" t="s">
        <v>1322</v>
      </c>
      <c r="F104" s="133">
        <v>10</v>
      </c>
      <c r="G104" s="133">
        <v>39</v>
      </c>
    </row>
    <row r="105" spans="1:7" x14ac:dyDescent="0.3">
      <c r="A105" s="323" t="s">
        <v>22</v>
      </c>
      <c r="B105" s="323" t="s">
        <v>21</v>
      </c>
      <c r="C105" s="323">
        <v>97.229116811594196</v>
      </c>
      <c r="D105" s="323" t="s">
        <v>464</v>
      </c>
      <c r="E105" s="323" t="s">
        <v>424</v>
      </c>
      <c r="F105" s="133">
        <v>641</v>
      </c>
      <c r="G105" s="133">
        <v>4010</v>
      </c>
    </row>
    <row r="106" spans="1:7" x14ac:dyDescent="0.3">
      <c r="A106" s="323" t="s">
        <v>875</v>
      </c>
      <c r="B106" s="323" t="s">
        <v>876</v>
      </c>
      <c r="C106" s="323">
        <v>98.356260000000006</v>
      </c>
      <c r="D106" s="323" t="s">
        <v>464</v>
      </c>
      <c r="E106" s="323" t="s">
        <v>936</v>
      </c>
      <c r="F106" s="133">
        <v>30</v>
      </c>
      <c r="G106" s="133">
        <v>172</v>
      </c>
    </row>
    <row r="107" spans="1:7" x14ac:dyDescent="0.3">
      <c r="A107" s="323" t="s">
        <v>225</v>
      </c>
      <c r="B107" s="323" t="s">
        <v>224</v>
      </c>
      <c r="C107" s="323">
        <v>97.710864000000001</v>
      </c>
      <c r="D107" s="323" t="s">
        <v>464</v>
      </c>
      <c r="E107" s="323" t="s">
        <v>424</v>
      </c>
      <c r="F107" s="133">
        <v>43</v>
      </c>
      <c r="G107" s="133">
        <v>269</v>
      </c>
    </row>
    <row r="108" spans="1:7" x14ac:dyDescent="0.3">
      <c r="A108" s="323" t="s">
        <v>276</v>
      </c>
      <c r="B108" s="323" t="s">
        <v>275</v>
      </c>
      <c r="C108" s="323">
        <v>97.399628000000007</v>
      </c>
      <c r="D108" s="323" t="s">
        <v>464</v>
      </c>
      <c r="E108" s="323" t="s">
        <v>424</v>
      </c>
      <c r="F108" s="133">
        <v>118</v>
      </c>
      <c r="G108" s="133">
        <v>569</v>
      </c>
    </row>
    <row r="109" spans="1:7" x14ac:dyDescent="0.3">
      <c r="A109" s="323" t="s">
        <v>278</v>
      </c>
      <c r="B109" s="323" t="s">
        <v>277</v>
      </c>
      <c r="C109" s="323">
        <v>97.418004999999994</v>
      </c>
      <c r="D109" s="323" t="s">
        <v>464</v>
      </c>
      <c r="E109" s="323" t="s">
        <v>462</v>
      </c>
      <c r="F109" s="133">
        <v>23</v>
      </c>
      <c r="G109" s="133">
        <v>114</v>
      </c>
    </row>
    <row r="110" spans="1:7" x14ac:dyDescent="0.3">
      <c r="A110" s="323" t="s">
        <v>345</v>
      </c>
      <c r="B110" s="323" t="s">
        <v>344</v>
      </c>
      <c r="C110" s="323">
        <v>98.025662999999994</v>
      </c>
      <c r="D110" s="323" t="s">
        <v>464</v>
      </c>
      <c r="E110" s="323" t="s">
        <v>424</v>
      </c>
      <c r="F110" s="133">
        <v>181</v>
      </c>
      <c r="G110" s="133">
        <v>1001</v>
      </c>
    </row>
    <row r="111" spans="1:7" x14ac:dyDescent="0.3">
      <c r="A111" s="323" t="s">
        <v>305</v>
      </c>
      <c r="B111" s="323" t="s">
        <v>304</v>
      </c>
      <c r="C111" s="323">
        <v>96.807353000000006</v>
      </c>
      <c r="D111" s="323" t="s">
        <v>464</v>
      </c>
      <c r="E111" s="323" t="s">
        <v>424</v>
      </c>
      <c r="F111" s="133">
        <v>88</v>
      </c>
      <c r="G111" s="133">
        <v>330</v>
      </c>
    </row>
    <row r="112" spans="1:7" x14ac:dyDescent="0.3">
      <c r="A112" s="323" t="s">
        <v>307</v>
      </c>
      <c r="B112" s="323" t="s">
        <v>306</v>
      </c>
      <c r="C112" s="323">
        <v>96.807353000000006</v>
      </c>
      <c r="D112" s="323" t="s">
        <v>464</v>
      </c>
      <c r="E112" s="323" t="s">
        <v>935</v>
      </c>
      <c r="F112" s="133">
        <v>46</v>
      </c>
      <c r="G112" s="133">
        <v>199</v>
      </c>
    </row>
    <row r="113" spans="1:7" x14ac:dyDescent="0.3">
      <c r="A113" s="323" t="s">
        <v>280</v>
      </c>
      <c r="B113" s="323" t="s">
        <v>279</v>
      </c>
      <c r="C113" s="323">
        <v>97.419403000000003</v>
      </c>
      <c r="D113" s="323" t="s">
        <v>464</v>
      </c>
      <c r="E113" s="323" t="s">
        <v>424</v>
      </c>
      <c r="F113" s="133">
        <v>91</v>
      </c>
      <c r="G113" s="133">
        <v>511</v>
      </c>
    </row>
    <row r="114" spans="1:7" x14ac:dyDescent="0.3">
      <c r="A114" s="323" t="s">
        <v>181</v>
      </c>
      <c r="B114" s="323" t="s">
        <v>179</v>
      </c>
      <c r="C114" s="323">
        <v>96.367059999999995</v>
      </c>
      <c r="D114" s="323" t="s">
        <v>464</v>
      </c>
      <c r="E114" s="323" t="s">
        <v>936</v>
      </c>
      <c r="F114" s="133">
        <v>11</v>
      </c>
      <c r="G114" s="133">
        <v>55</v>
      </c>
    </row>
    <row r="115" spans="1:7" x14ac:dyDescent="0.3">
      <c r="A115" s="323" t="s">
        <v>746</v>
      </c>
      <c r="B115" s="323" t="s">
        <v>750</v>
      </c>
      <c r="C115" s="323">
        <v>97.568836000000005</v>
      </c>
      <c r="D115" s="323" t="s">
        <v>464</v>
      </c>
      <c r="E115" s="323" t="s">
        <v>1322</v>
      </c>
      <c r="F115" s="133">
        <v>5</v>
      </c>
      <c r="G115" s="133">
        <v>32</v>
      </c>
    </row>
    <row r="116" spans="1:7" x14ac:dyDescent="0.3">
      <c r="A116" s="323" t="s">
        <v>24</v>
      </c>
      <c r="B116" s="323" t="s">
        <v>23</v>
      </c>
      <c r="C116" s="323">
        <v>97.227789999999999</v>
      </c>
      <c r="D116" s="323" t="s">
        <v>464</v>
      </c>
      <c r="E116" s="323" t="s">
        <v>462</v>
      </c>
      <c r="F116" s="133">
        <v>20</v>
      </c>
      <c r="G116" s="133">
        <v>95</v>
      </c>
    </row>
    <row r="117" spans="1:7" x14ac:dyDescent="0.3">
      <c r="A117" s="323" t="s">
        <v>238</v>
      </c>
      <c r="B117" s="323" t="s">
        <v>236</v>
      </c>
      <c r="C117" s="323">
        <v>97.386718999999999</v>
      </c>
      <c r="D117" s="323" t="s">
        <v>464</v>
      </c>
      <c r="E117" s="323" t="s">
        <v>424</v>
      </c>
      <c r="F117" s="133">
        <v>73</v>
      </c>
      <c r="G117" s="133">
        <v>406</v>
      </c>
    </row>
    <row r="118" spans="1:7" x14ac:dyDescent="0.3">
      <c r="A118" s="323" t="s">
        <v>248</v>
      </c>
      <c r="B118" s="323" t="s">
        <v>247</v>
      </c>
      <c r="C118" s="323">
        <v>97.389778000000007</v>
      </c>
      <c r="D118" s="323" t="s">
        <v>464</v>
      </c>
      <c r="E118" s="323" t="s">
        <v>1322</v>
      </c>
      <c r="F118" s="133">
        <v>7</v>
      </c>
      <c r="G118" s="133">
        <v>31</v>
      </c>
    </row>
    <row r="119" spans="1:7" x14ac:dyDescent="0.3">
      <c r="A119" s="323" t="s">
        <v>250</v>
      </c>
      <c r="B119" s="323" t="s">
        <v>249</v>
      </c>
      <c r="C119" s="323">
        <v>97.377662999999998</v>
      </c>
      <c r="D119" s="323" t="s">
        <v>464</v>
      </c>
      <c r="E119" s="323" t="s">
        <v>424</v>
      </c>
      <c r="F119" s="133">
        <v>32</v>
      </c>
      <c r="G119" s="133">
        <v>174</v>
      </c>
    </row>
    <row r="120" spans="1:7" x14ac:dyDescent="0.3">
      <c r="A120" s="323" t="s">
        <v>274</v>
      </c>
      <c r="B120" s="323" t="s">
        <v>273</v>
      </c>
      <c r="C120" s="323">
        <v>97.382192000000003</v>
      </c>
      <c r="D120" s="323" t="s">
        <v>464</v>
      </c>
      <c r="E120" s="323" t="s">
        <v>424</v>
      </c>
      <c r="F120" s="133">
        <v>46</v>
      </c>
      <c r="G120" s="133">
        <v>241</v>
      </c>
    </row>
    <row r="121" spans="1:7" x14ac:dyDescent="0.3">
      <c r="A121" s="323" t="s">
        <v>347</v>
      </c>
      <c r="B121" s="323" t="s">
        <v>346</v>
      </c>
      <c r="C121" s="323">
        <v>97.428251153846105</v>
      </c>
      <c r="D121" s="323" t="s">
        <v>464</v>
      </c>
      <c r="E121" s="323" t="s">
        <v>462</v>
      </c>
      <c r="F121" s="133">
        <v>46</v>
      </c>
      <c r="G121" s="133">
        <v>192</v>
      </c>
    </row>
    <row r="122" spans="1:7" x14ac:dyDescent="0.3">
      <c r="A122" s="323" t="s">
        <v>300</v>
      </c>
      <c r="B122" s="323" t="s">
        <v>298</v>
      </c>
      <c r="C122" s="323">
        <v>97.415289999999999</v>
      </c>
      <c r="D122" s="323" t="s">
        <v>464</v>
      </c>
      <c r="E122" s="323" t="s">
        <v>1322</v>
      </c>
      <c r="F122" s="133">
        <v>14</v>
      </c>
      <c r="G122" s="133">
        <v>75</v>
      </c>
    </row>
    <row r="123" spans="1:7" x14ac:dyDescent="0.3">
      <c r="A123" s="323" t="s">
        <v>315</v>
      </c>
      <c r="B123" s="323" t="s">
        <v>314</v>
      </c>
      <c r="C123" s="323">
        <v>97.444283730158702</v>
      </c>
      <c r="D123" s="323" t="s">
        <v>464</v>
      </c>
      <c r="E123" s="323" t="s">
        <v>462</v>
      </c>
      <c r="F123" s="133">
        <v>69</v>
      </c>
      <c r="G123" s="133">
        <v>290</v>
      </c>
    </row>
    <row r="124" spans="1:7" x14ac:dyDescent="0.3">
      <c r="A124" s="323" t="s">
        <v>126</v>
      </c>
      <c r="B124" s="323" t="s">
        <v>125</v>
      </c>
      <c r="C124" s="323">
        <v>96.286680000000004</v>
      </c>
      <c r="D124" s="323" t="s">
        <v>464</v>
      </c>
      <c r="E124" s="323" t="s">
        <v>424</v>
      </c>
      <c r="F124" s="133">
        <v>32</v>
      </c>
      <c r="G124" s="133">
        <v>180</v>
      </c>
    </row>
    <row r="125" spans="1:7" x14ac:dyDescent="0.3">
      <c r="A125" s="323" t="s">
        <v>351</v>
      </c>
      <c r="B125" s="323" t="s">
        <v>350</v>
      </c>
      <c r="C125" s="323">
        <v>97.546893999999995</v>
      </c>
      <c r="D125" s="323" t="s">
        <v>466</v>
      </c>
      <c r="E125" s="323" t="s">
        <v>936</v>
      </c>
      <c r="F125" s="133">
        <v>1433</v>
      </c>
      <c r="G125" s="133">
        <v>7123</v>
      </c>
    </row>
    <row r="126" spans="1:7" x14ac:dyDescent="0.3">
      <c r="A126" s="323" t="s">
        <v>26</v>
      </c>
      <c r="B126" s="323" t="s">
        <v>25</v>
      </c>
      <c r="C126" s="323">
        <v>97.240639999999999</v>
      </c>
      <c r="D126" s="323" t="s">
        <v>464</v>
      </c>
      <c r="E126" s="323" t="s">
        <v>462</v>
      </c>
      <c r="F126" s="133">
        <v>14</v>
      </c>
      <c r="G126" s="133">
        <v>77</v>
      </c>
    </row>
    <row r="127" spans="1:7" x14ac:dyDescent="0.3">
      <c r="A127" s="323" t="s">
        <v>140</v>
      </c>
      <c r="B127" s="323" t="s">
        <v>139</v>
      </c>
      <c r="C127" s="323">
        <v>96.306910999999999</v>
      </c>
      <c r="D127" s="323" t="s">
        <v>464</v>
      </c>
      <c r="E127" s="323" t="s">
        <v>424</v>
      </c>
      <c r="F127" s="133">
        <v>16</v>
      </c>
      <c r="G127" s="133">
        <v>66</v>
      </c>
    </row>
    <row r="128" spans="1:7" x14ac:dyDescent="0.3">
      <c r="A128" s="323" t="s">
        <v>371</v>
      </c>
      <c r="B128" s="323" t="s">
        <v>385</v>
      </c>
      <c r="C128" s="323">
        <v>97.837040000000002</v>
      </c>
      <c r="D128" s="323" t="s">
        <v>464</v>
      </c>
      <c r="E128" s="323" t="s">
        <v>424</v>
      </c>
      <c r="F128" s="133">
        <v>198</v>
      </c>
      <c r="G128" s="133">
        <v>1008</v>
      </c>
    </row>
    <row r="129" spans="1:7" x14ac:dyDescent="0.3">
      <c r="A129" s="323" t="s">
        <v>984</v>
      </c>
      <c r="B129" s="323" t="s">
        <v>986</v>
      </c>
      <c r="C129" s="323">
        <v>96.52534</v>
      </c>
      <c r="D129" s="323" t="s">
        <v>464</v>
      </c>
      <c r="E129" s="323" t="s">
        <v>1322</v>
      </c>
      <c r="F129" s="133">
        <v>27</v>
      </c>
      <c r="G129" s="133">
        <v>121</v>
      </c>
    </row>
    <row r="130" spans="1:7" x14ac:dyDescent="0.3">
      <c r="A130" s="323" t="s">
        <v>985</v>
      </c>
      <c r="B130" s="323" t="s">
        <v>987</v>
      </c>
      <c r="C130" s="323">
        <v>96.366919999999993</v>
      </c>
      <c r="D130" s="323" t="s">
        <v>464</v>
      </c>
      <c r="E130" s="323" t="s">
        <v>1322</v>
      </c>
      <c r="F130" s="133">
        <v>14</v>
      </c>
      <c r="G130" s="133">
        <v>63</v>
      </c>
    </row>
    <row r="131" spans="1:7" x14ac:dyDescent="0.3">
      <c r="A131" s="323" t="s">
        <v>1030</v>
      </c>
      <c r="B131" s="323" t="s">
        <v>343</v>
      </c>
      <c r="C131" s="323">
        <v>97.751389000000003</v>
      </c>
      <c r="D131" s="323" t="s">
        <v>466</v>
      </c>
      <c r="E131" s="323" t="s">
        <v>424</v>
      </c>
      <c r="F131" s="133">
        <v>163</v>
      </c>
      <c r="G131" s="133">
        <v>909</v>
      </c>
    </row>
    <row r="132" spans="1:7" x14ac:dyDescent="0.3">
      <c r="A132" s="323" t="s">
        <v>1031</v>
      </c>
      <c r="B132" s="323" t="s">
        <v>241</v>
      </c>
      <c r="C132" s="323">
        <v>97.379987</v>
      </c>
      <c r="D132" s="323" t="s">
        <v>464</v>
      </c>
      <c r="E132" s="323" t="s">
        <v>462</v>
      </c>
      <c r="F132" s="133">
        <v>57</v>
      </c>
      <c r="G132" s="133">
        <v>281</v>
      </c>
    </row>
    <row r="133" spans="1:7" x14ac:dyDescent="0.3">
      <c r="A133" s="323" t="s">
        <v>1046</v>
      </c>
      <c r="B133" s="323" t="s">
        <v>1045</v>
      </c>
      <c r="C133" s="323">
        <v>97.416121000000004</v>
      </c>
      <c r="D133" s="323" t="s">
        <v>464</v>
      </c>
      <c r="E133" s="323" t="s">
        <v>424</v>
      </c>
      <c r="F133" s="133">
        <v>61</v>
      </c>
      <c r="G133" s="133">
        <v>281</v>
      </c>
    </row>
    <row r="134" spans="1:7" x14ac:dyDescent="0.3">
      <c r="A134" s="323" t="s">
        <v>1060</v>
      </c>
      <c r="B134" s="323" t="s">
        <v>1044</v>
      </c>
      <c r="C134" s="323">
        <v>98.218626999999998</v>
      </c>
      <c r="D134" s="323" t="s">
        <v>464</v>
      </c>
      <c r="E134" s="323" t="s">
        <v>424</v>
      </c>
      <c r="F134" s="133">
        <v>32</v>
      </c>
      <c r="G134" s="133">
        <v>167</v>
      </c>
    </row>
    <row r="135" spans="1:7" x14ac:dyDescent="0.3">
      <c r="A135" s="323" t="s">
        <v>1062</v>
      </c>
      <c r="B135" s="323" t="s">
        <v>1056</v>
      </c>
      <c r="C135" s="323">
        <v>96.793999999999997</v>
      </c>
      <c r="D135" s="323" t="s">
        <v>464</v>
      </c>
      <c r="E135" s="323" t="s">
        <v>424</v>
      </c>
      <c r="F135" s="133">
        <v>27</v>
      </c>
      <c r="G135" s="133">
        <v>135</v>
      </c>
    </row>
    <row r="136" spans="1:7" x14ac:dyDescent="0.3">
      <c r="A136" s="323" t="s">
        <v>1066</v>
      </c>
      <c r="B136" s="323" t="s">
        <v>1067</v>
      </c>
      <c r="C136" s="323">
        <v>97.745480999999998</v>
      </c>
      <c r="D136" s="323" t="s">
        <v>466</v>
      </c>
      <c r="E136" s="323" t="s">
        <v>424</v>
      </c>
      <c r="F136" s="133">
        <v>126</v>
      </c>
      <c r="G136" s="133">
        <v>779</v>
      </c>
    </row>
    <row r="137" spans="1:7" x14ac:dyDescent="0.3">
      <c r="A137" s="323" t="s">
        <v>1068</v>
      </c>
      <c r="B137" s="323" t="s">
        <v>1069</v>
      </c>
      <c r="C137" s="323">
        <v>97.75609</v>
      </c>
      <c r="D137" s="323" t="s">
        <v>466</v>
      </c>
      <c r="E137" s="323" t="s">
        <v>424</v>
      </c>
      <c r="F137" s="133">
        <v>67</v>
      </c>
      <c r="G137" s="133">
        <v>332</v>
      </c>
    </row>
    <row r="138" spans="1:7" x14ac:dyDescent="0.3">
      <c r="A138" s="323" t="s">
        <v>1082</v>
      </c>
      <c r="B138" s="323" t="s">
        <v>1083</v>
      </c>
      <c r="C138" s="323">
        <v>97.868876999999998</v>
      </c>
      <c r="D138" s="323" t="s">
        <v>464</v>
      </c>
      <c r="E138" s="323" t="s">
        <v>1322</v>
      </c>
      <c r="F138" s="133">
        <v>105</v>
      </c>
      <c r="G138" s="133">
        <v>568</v>
      </c>
    </row>
    <row r="139" spans="1:7" x14ac:dyDescent="0.3">
      <c r="A139" s="323" t="s">
        <v>1131</v>
      </c>
      <c r="B139" s="323" t="s">
        <v>1125</v>
      </c>
      <c r="C139" s="323">
        <v>97.506</v>
      </c>
      <c r="D139" s="323" t="s">
        <v>464</v>
      </c>
      <c r="E139" s="323" t="s">
        <v>1322</v>
      </c>
      <c r="F139" s="133">
        <v>61</v>
      </c>
      <c r="G139" s="133">
        <v>276</v>
      </c>
    </row>
    <row r="140" spans="1:7" x14ac:dyDescent="0.3">
      <c r="A140" s="323" t="s">
        <v>1138</v>
      </c>
      <c r="B140" s="323" t="s">
        <v>1122</v>
      </c>
      <c r="C140" s="323">
        <v>97.358999999999995</v>
      </c>
      <c r="D140" s="323" t="s">
        <v>464</v>
      </c>
      <c r="E140" s="323" t="s">
        <v>1322</v>
      </c>
      <c r="F140" s="133">
        <v>19</v>
      </c>
      <c r="G140" s="133">
        <v>82</v>
      </c>
    </row>
    <row r="141" spans="1:7" x14ac:dyDescent="0.3">
      <c r="A141" s="323" t="s">
        <v>1141</v>
      </c>
      <c r="B141" s="323" t="s">
        <v>1123</v>
      </c>
      <c r="C141" s="323" t="s">
        <v>787</v>
      </c>
      <c r="D141" s="323" t="s">
        <v>464</v>
      </c>
      <c r="E141" s="323" t="s">
        <v>1322</v>
      </c>
      <c r="F141" s="133">
        <v>36</v>
      </c>
      <c r="G141" s="133">
        <v>188</v>
      </c>
    </row>
    <row r="142" spans="1:7" x14ac:dyDescent="0.3">
      <c r="A142" s="323" t="s">
        <v>1147</v>
      </c>
      <c r="B142" s="323" t="s">
        <v>1128</v>
      </c>
      <c r="C142" s="323">
        <v>98.337999999999994</v>
      </c>
      <c r="D142" s="323" t="s">
        <v>464</v>
      </c>
      <c r="E142" s="323" t="s">
        <v>1322</v>
      </c>
      <c r="F142" s="133">
        <v>30</v>
      </c>
      <c r="G142" s="133">
        <v>170</v>
      </c>
    </row>
    <row r="143" spans="1:7" x14ac:dyDescent="0.3">
      <c r="A143" s="323" t="s">
        <v>1159</v>
      </c>
      <c r="B143" s="323" t="s">
        <v>1162</v>
      </c>
      <c r="C143" s="323">
        <v>96.662092000000001</v>
      </c>
      <c r="D143" s="323" t="s">
        <v>464</v>
      </c>
      <c r="E143" s="323" t="s">
        <v>424</v>
      </c>
      <c r="F143" s="133">
        <v>29</v>
      </c>
      <c r="G143" s="133">
        <v>118</v>
      </c>
    </row>
    <row r="144" spans="1:7" x14ac:dyDescent="0.3">
      <c r="A144" s="323" t="s">
        <v>1158</v>
      </c>
      <c r="B144" s="323" t="s">
        <v>1164</v>
      </c>
      <c r="C144" s="323">
        <v>96.662092000000001</v>
      </c>
      <c r="D144" s="323" t="s">
        <v>464</v>
      </c>
      <c r="E144" s="323" t="s">
        <v>1322</v>
      </c>
      <c r="F144" s="133">
        <v>5</v>
      </c>
      <c r="G144" s="133">
        <v>13</v>
      </c>
    </row>
    <row r="145" spans="1:7" x14ac:dyDescent="0.3">
      <c r="A145" s="323" t="s">
        <v>1157</v>
      </c>
      <c r="B145" s="323" t="s">
        <v>1165</v>
      </c>
      <c r="C145" s="323">
        <v>96.662092000000001</v>
      </c>
      <c r="D145" s="323" t="s">
        <v>464</v>
      </c>
      <c r="E145" s="323" t="s">
        <v>936</v>
      </c>
      <c r="F145" s="133">
        <v>21</v>
      </c>
      <c r="G145" s="133">
        <v>90</v>
      </c>
    </row>
    <row r="146" spans="1:7" x14ac:dyDescent="0.3">
      <c r="A146" s="323" t="s">
        <v>1192</v>
      </c>
      <c r="B146" s="323" t="s">
        <v>1174</v>
      </c>
      <c r="C146" s="323" t="s">
        <v>787</v>
      </c>
      <c r="D146" s="323" t="s">
        <v>464</v>
      </c>
      <c r="E146" s="323" t="s">
        <v>1048</v>
      </c>
      <c r="F146" s="133">
        <v>43</v>
      </c>
      <c r="G146" s="133">
        <v>223</v>
      </c>
    </row>
    <row r="147" spans="1:7" x14ac:dyDescent="0.3">
      <c r="A147" s="323" t="s">
        <v>1198</v>
      </c>
      <c r="B147" s="323" t="s">
        <v>1186</v>
      </c>
      <c r="C147" s="323">
        <v>97.314762999999999</v>
      </c>
      <c r="D147" s="323" t="s">
        <v>464</v>
      </c>
      <c r="E147" s="323" t="s">
        <v>1322</v>
      </c>
      <c r="F147" s="133">
        <v>37</v>
      </c>
      <c r="G147" s="133">
        <v>120</v>
      </c>
    </row>
    <row r="148" spans="1:7" x14ac:dyDescent="0.3">
      <c r="A148" s="323" t="s">
        <v>1233</v>
      </c>
      <c r="B148" s="323" t="s">
        <v>1232</v>
      </c>
      <c r="C148" s="323">
        <v>97.947360000000003</v>
      </c>
      <c r="D148" s="323" t="s">
        <v>464</v>
      </c>
      <c r="E148" s="323" t="s">
        <v>424</v>
      </c>
      <c r="F148" s="133">
        <v>39</v>
      </c>
      <c r="G148" s="133">
        <v>145</v>
      </c>
    </row>
    <row r="149" spans="1:7" x14ac:dyDescent="0.3">
      <c r="A149" s="323" t="s">
        <v>1242</v>
      </c>
      <c r="B149" s="323" t="s">
        <v>1243</v>
      </c>
      <c r="C149" s="323" t="s">
        <v>787</v>
      </c>
      <c r="D149" s="323" t="s">
        <v>464</v>
      </c>
      <c r="E149" s="323" t="s">
        <v>1322</v>
      </c>
      <c r="F149" s="133">
        <v>24</v>
      </c>
      <c r="G149" s="133">
        <v>84</v>
      </c>
    </row>
    <row r="150" spans="1:7" x14ac:dyDescent="0.3">
      <c r="A150" s="323" t="s">
        <v>716</v>
      </c>
      <c r="B150" s="323" t="s">
        <v>1247</v>
      </c>
      <c r="C150" s="323">
        <v>98.115809999999996</v>
      </c>
      <c r="D150" s="323" t="s">
        <v>464</v>
      </c>
      <c r="E150" s="323" t="s">
        <v>424</v>
      </c>
      <c r="F150" s="133">
        <v>153</v>
      </c>
      <c r="G150" s="133">
        <v>781</v>
      </c>
    </row>
    <row r="151" spans="1:7" x14ac:dyDescent="0.3">
      <c r="A151" s="323" t="s">
        <v>1258</v>
      </c>
      <c r="B151" s="323" t="s">
        <v>1255</v>
      </c>
      <c r="C151" s="323">
        <v>97.430321000000006</v>
      </c>
      <c r="D151" s="323" t="s">
        <v>464</v>
      </c>
      <c r="E151" s="323" t="s">
        <v>1322</v>
      </c>
      <c r="F151" s="133">
        <v>62</v>
      </c>
      <c r="G151" s="133">
        <v>410</v>
      </c>
    </row>
    <row r="152" spans="1:7" x14ac:dyDescent="0.3">
      <c r="A152" s="323" t="s">
        <v>1269</v>
      </c>
      <c r="B152" s="323" t="s">
        <v>1267</v>
      </c>
      <c r="C152" s="323" t="s">
        <v>787</v>
      </c>
      <c r="D152" s="323" t="s">
        <v>466</v>
      </c>
      <c r="E152" s="323" t="s">
        <v>424</v>
      </c>
      <c r="F152" s="133">
        <v>413</v>
      </c>
      <c r="G152" s="133">
        <v>1913</v>
      </c>
    </row>
    <row r="153" spans="1:7" x14ac:dyDescent="0.3">
      <c r="A153" s="323" t="s">
        <v>1282</v>
      </c>
      <c r="B153" s="323" t="s">
        <v>1273</v>
      </c>
      <c r="C153" s="323" t="s">
        <v>787</v>
      </c>
      <c r="D153" s="323" t="s">
        <v>464</v>
      </c>
      <c r="E153" s="323" t="s">
        <v>424</v>
      </c>
      <c r="F153" s="133">
        <v>123</v>
      </c>
      <c r="G153" s="133">
        <v>656</v>
      </c>
    </row>
    <row r="154" spans="1:7" x14ac:dyDescent="0.3">
      <c r="A154" s="323" t="s">
        <v>1281</v>
      </c>
      <c r="B154" s="323" t="s">
        <v>1280</v>
      </c>
      <c r="C154" s="323">
        <v>97.400671000000003</v>
      </c>
      <c r="D154" s="323" t="s">
        <v>464</v>
      </c>
      <c r="E154" s="323" t="s">
        <v>1048</v>
      </c>
      <c r="F154" s="133">
        <v>59</v>
      </c>
      <c r="G154" s="133">
        <v>273</v>
      </c>
    </row>
    <row r="155" spans="1:7" x14ac:dyDescent="0.3">
      <c r="A155" s="323" t="s">
        <v>1404</v>
      </c>
      <c r="B155" s="323" t="s">
        <v>1417</v>
      </c>
      <c r="C155" s="323" t="s">
        <v>787</v>
      </c>
      <c r="D155" s="323" t="s">
        <v>464</v>
      </c>
      <c r="E155" s="323" t="s">
        <v>1322</v>
      </c>
      <c r="F155" s="133">
        <v>42</v>
      </c>
      <c r="G155" s="133">
        <v>190</v>
      </c>
    </row>
    <row r="156" spans="1:7" x14ac:dyDescent="0.3">
      <c r="A156" s="323" t="s">
        <v>1405</v>
      </c>
      <c r="B156" s="323" t="s">
        <v>1418</v>
      </c>
      <c r="C156" s="323" t="s">
        <v>787</v>
      </c>
      <c r="D156" s="323" t="s">
        <v>464</v>
      </c>
      <c r="E156" s="323" t="s">
        <v>1322</v>
      </c>
      <c r="F156" s="133">
        <v>127</v>
      </c>
      <c r="G156" s="133">
        <v>450</v>
      </c>
    </row>
    <row r="157" spans="1:7" x14ac:dyDescent="0.3">
      <c r="A157" s="323" t="s">
        <v>1406</v>
      </c>
      <c r="B157" s="323" t="s">
        <v>1419</v>
      </c>
      <c r="C157" s="323" t="s">
        <v>787</v>
      </c>
      <c r="D157" s="323" t="s">
        <v>464</v>
      </c>
      <c r="E157" s="323" t="s">
        <v>1322</v>
      </c>
      <c r="F157" s="133">
        <v>36</v>
      </c>
      <c r="G157" s="133">
        <v>145</v>
      </c>
    </row>
    <row r="158" spans="1:7" x14ac:dyDescent="0.3">
      <c r="A158" s="323" t="s">
        <v>1413</v>
      </c>
      <c r="B158" s="323" t="s">
        <v>1416</v>
      </c>
      <c r="C158" s="323" t="s">
        <v>787</v>
      </c>
      <c r="D158" s="323" t="s">
        <v>464</v>
      </c>
      <c r="E158" s="323" t="s">
        <v>1322</v>
      </c>
      <c r="F158" s="133">
        <v>30</v>
      </c>
      <c r="G158" s="133">
        <v>130</v>
      </c>
    </row>
    <row r="159" spans="1:7" x14ac:dyDescent="0.3">
      <c r="A159" s="323" t="s">
        <v>1525</v>
      </c>
      <c r="B159" s="323" t="s">
        <v>244</v>
      </c>
      <c r="C159" s="323">
        <v>97.382997575757599</v>
      </c>
      <c r="D159" s="323" t="s">
        <v>464</v>
      </c>
      <c r="E159" s="323" t="s">
        <v>424</v>
      </c>
      <c r="F159" s="133">
        <v>42</v>
      </c>
      <c r="G159" s="133">
        <v>184</v>
      </c>
    </row>
    <row r="160" spans="1:7" x14ac:dyDescent="0.3">
      <c r="A160" s="323" t="s">
        <v>1529</v>
      </c>
      <c r="B160" s="323" t="s">
        <v>1565</v>
      </c>
      <c r="C160" s="323" t="s">
        <v>787</v>
      </c>
      <c r="D160" s="323" t="s">
        <v>464</v>
      </c>
      <c r="E160" s="323" t="s">
        <v>1322</v>
      </c>
      <c r="F160" s="133">
        <v>19</v>
      </c>
      <c r="G160" s="133">
        <v>46</v>
      </c>
    </row>
    <row r="161" spans="1:7" x14ac:dyDescent="0.3">
      <c r="A161" s="323" t="s">
        <v>1502</v>
      </c>
      <c r="B161" s="323" t="s">
        <v>175</v>
      </c>
      <c r="C161" s="323">
        <v>96.942279999999997</v>
      </c>
      <c r="D161" s="323" t="s">
        <v>464</v>
      </c>
      <c r="E161" s="323" t="s">
        <v>424</v>
      </c>
      <c r="F161" s="133">
        <v>16</v>
      </c>
      <c r="G161" s="133">
        <v>79</v>
      </c>
    </row>
    <row r="162" spans="1:7" x14ac:dyDescent="0.3">
      <c r="A162" s="323" t="s">
        <v>1546</v>
      </c>
      <c r="B162" s="323" t="s">
        <v>1568</v>
      </c>
      <c r="C162" s="323" t="s">
        <v>787</v>
      </c>
      <c r="D162" s="323" t="s">
        <v>464</v>
      </c>
      <c r="E162" s="323" t="s">
        <v>1322</v>
      </c>
      <c r="F162" s="133">
        <v>39</v>
      </c>
      <c r="G162" s="133">
        <v>202</v>
      </c>
    </row>
    <row r="163" spans="1:7" x14ac:dyDescent="0.3">
      <c r="A163" s="323" t="s">
        <v>1263</v>
      </c>
      <c r="B163" s="323" t="s">
        <v>1567</v>
      </c>
      <c r="C163" s="323" t="s">
        <v>787</v>
      </c>
      <c r="D163" s="323" t="s">
        <v>464</v>
      </c>
      <c r="E163" s="323" t="s">
        <v>1322</v>
      </c>
      <c r="F163" s="133">
        <v>80</v>
      </c>
      <c r="G163" s="133">
        <v>449</v>
      </c>
    </row>
    <row r="164" spans="1:7" x14ac:dyDescent="0.3">
      <c r="A164" s="323" t="s">
        <v>1596</v>
      </c>
      <c r="B164" s="323" t="s">
        <v>1126</v>
      </c>
      <c r="C164" s="323">
        <v>97.810101000000003</v>
      </c>
      <c r="D164" s="323" t="s">
        <v>464</v>
      </c>
      <c r="E164" s="323" t="s">
        <v>1048</v>
      </c>
      <c r="F164" s="133">
        <v>41</v>
      </c>
      <c r="G164" s="133">
        <v>137</v>
      </c>
    </row>
    <row r="165" spans="1:7" x14ac:dyDescent="0.3">
      <c r="A165" s="323" t="s">
        <v>1650</v>
      </c>
      <c r="B165" s="323" t="s">
        <v>383</v>
      </c>
      <c r="C165" s="323">
        <v>97.793019999999999</v>
      </c>
      <c r="D165" s="323" t="s">
        <v>464</v>
      </c>
      <c r="E165" s="323" t="s">
        <v>424</v>
      </c>
      <c r="F165" s="133">
        <v>76</v>
      </c>
      <c r="G165" s="133">
        <v>338</v>
      </c>
    </row>
    <row r="166" spans="1:7" x14ac:dyDescent="0.3">
      <c r="A166" s="323" t="s">
        <v>1651</v>
      </c>
      <c r="B166" s="323" t="s">
        <v>1121</v>
      </c>
      <c r="C166" s="323">
        <v>97.796999999999997</v>
      </c>
      <c r="D166" s="323" t="s">
        <v>464</v>
      </c>
      <c r="E166" s="323" t="s">
        <v>424</v>
      </c>
      <c r="F166" s="133">
        <v>108</v>
      </c>
      <c r="G166" s="133">
        <v>527</v>
      </c>
    </row>
    <row r="167" spans="1:7" x14ac:dyDescent="0.3">
      <c r="A167" s="323" t="s">
        <v>1851</v>
      </c>
      <c r="B167" s="323" t="s">
        <v>1839</v>
      </c>
      <c r="C167" s="323">
        <v>97.010629910000006</v>
      </c>
      <c r="D167" s="323" t="s">
        <v>464</v>
      </c>
      <c r="E167" s="323" t="s">
        <v>1322</v>
      </c>
      <c r="F167" s="133">
        <v>45</v>
      </c>
      <c r="G167" s="133">
        <v>212</v>
      </c>
    </row>
    <row r="168" spans="1:7" x14ac:dyDescent="0.3">
      <c r="A168" s="323" t="s">
        <v>1852</v>
      </c>
      <c r="B168" s="323" t="s">
        <v>1840</v>
      </c>
      <c r="C168" s="323">
        <v>97.013800000000003</v>
      </c>
      <c r="D168" s="323" t="s">
        <v>464</v>
      </c>
      <c r="E168" s="323" t="s">
        <v>1322</v>
      </c>
      <c r="F168" s="133">
        <v>89</v>
      </c>
      <c r="G168" s="133">
        <v>372</v>
      </c>
    </row>
    <row r="169" spans="1:7" x14ac:dyDescent="0.3">
      <c r="A169" s="323" t="s">
        <v>1853</v>
      </c>
      <c r="B169" s="323" t="s">
        <v>1841</v>
      </c>
      <c r="C169" s="323">
        <v>97.104997409999996</v>
      </c>
      <c r="D169" s="323" t="s">
        <v>464</v>
      </c>
      <c r="E169" s="323" t="s">
        <v>1322</v>
      </c>
      <c r="F169" s="133">
        <v>110</v>
      </c>
      <c r="G169" s="133">
        <v>475</v>
      </c>
    </row>
    <row r="170" spans="1:7" x14ac:dyDescent="0.3">
      <c r="A170" s="323" t="s">
        <v>1856</v>
      </c>
      <c r="B170" s="323" t="s">
        <v>1842</v>
      </c>
      <c r="C170" s="323" t="s">
        <v>787</v>
      </c>
      <c r="D170" s="323" t="s">
        <v>464</v>
      </c>
      <c r="E170" s="323" t="s">
        <v>1322</v>
      </c>
      <c r="F170" s="133">
        <v>33</v>
      </c>
      <c r="G170" s="133">
        <v>81</v>
      </c>
    </row>
    <row r="171" spans="1:7" x14ac:dyDescent="0.3">
      <c r="A171" s="323" t="s">
        <v>1857</v>
      </c>
      <c r="B171" s="323" t="s">
        <v>1843</v>
      </c>
      <c r="C171" s="323">
        <v>97.431079999999994</v>
      </c>
      <c r="D171" s="323" t="s">
        <v>464</v>
      </c>
      <c r="E171" s="323" t="s">
        <v>1322</v>
      </c>
      <c r="F171" s="133">
        <v>157</v>
      </c>
      <c r="G171" s="133">
        <v>749</v>
      </c>
    </row>
    <row r="172" spans="1:7" x14ac:dyDescent="0.3">
      <c r="A172" s="323" t="s">
        <v>1862</v>
      </c>
      <c r="B172" s="323" t="s">
        <v>1844</v>
      </c>
      <c r="C172" s="323">
        <v>97.49136</v>
      </c>
      <c r="D172" s="323" t="s">
        <v>464</v>
      </c>
      <c r="E172" s="323" t="s">
        <v>1322</v>
      </c>
      <c r="F172" s="133">
        <v>215</v>
      </c>
      <c r="G172" s="133">
        <v>1048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4.4" x14ac:dyDescent="0.3"/>
  <cols>
    <col min="1" max="1" width="16.5546875" bestFit="1" customWidth="1"/>
    <col min="2" max="2" width="22.5546875" bestFit="1" customWidth="1"/>
    <col min="3" max="3" width="11.6640625" bestFit="1" customWidth="1"/>
    <col min="4" max="5" width="15.6640625" bestFit="1" customWidth="1"/>
    <col min="6" max="6" width="16.33203125" bestFit="1" customWidth="1"/>
    <col min="7" max="7" width="10.5546875" bestFit="1" customWidth="1"/>
  </cols>
  <sheetData>
    <row r="1" spans="1:4" hidden="1" x14ac:dyDescent="0.3">
      <c r="A1" s="139" t="s">
        <v>458</v>
      </c>
      <c r="B1" s="323" t="s">
        <v>460</v>
      </c>
    </row>
    <row r="2" spans="1:4" hidden="1" x14ac:dyDescent="0.3"/>
    <row r="3" spans="1:4" x14ac:dyDescent="0.3">
      <c r="A3" s="139" t="s">
        <v>399</v>
      </c>
      <c r="B3" s="139" t="s">
        <v>0</v>
      </c>
      <c r="C3" s="139" t="s">
        <v>463</v>
      </c>
      <c r="D3" s="139" t="s">
        <v>511</v>
      </c>
    </row>
    <row r="4" spans="1:4" x14ac:dyDescent="0.3">
      <c r="A4" s="323" t="s">
        <v>778</v>
      </c>
      <c r="B4" s="323" t="s">
        <v>5</v>
      </c>
      <c r="C4" s="323" t="s">
        <v>14</v>
      </c>
      <c r="D4" s="323" t="s">
        <v>13</v>
      </c>
    </row>
    <row r="5" spans="1:4" x14ac:dyDescent="0.3">
      <c r="C5" s="323" t="s">
        <v>18</v>
      </c>
      <c r="D5" s="323" t="s">
        <v>17</v>
      </c>
    </row>
    <row r="6" spans="1:4" x14ac:dyDescent="0.3">
      <c r="C6" s="323" t="s">
        <v>364</v>
      </c>
      <c r="D6" s="323" t="s">
        <v>374</v>
      </c>
    </row>
    <row r="7" spans="1:4" x14ac:dyDescent="0.3">
      <c r="C7" s="323" t="s">
        <v>22</v>
      </c>
      <c r="D7" s="323" t="s">
        <v>21</v>
      </c>
    </row>
    <row r="8" spans="1:4" x14ac:dyDescent="0.3">
      <c r="C8" s="323" t="s">
        <v>26</v>
      </c>
      <c r="D8" s="323" t="s">
        <v>25</v>
      </c>
    </row>
    <row r="9" spans="1:4" x14ac:dyDescent="0.3">
      <c r="B9" s="323" t="s">
        <v>146</v>
      </c>
      <c r="C9" s="323" t="s">
        <v>367</v>
      </c>
      <c r="D9" s="323" t="s">
        <v>381</v>
      </c>
    </row>
    <row r="10" spans="1:4" x14ac:dyDescent="0.3">
      <c r="C10" s="323" t="s">
        <v>368</v>
      </c>
      <c r="D10" s="323" t="s">
        <v>382</v>
      </c>
    </row>
    <row r="11" spans="1:4" x14ac:dyDescent="0.3">
      <c r="C11" s="323" t="s">
        <v>371</v>
      </c>
      <c r="D11" s="323" t="s">
        <v>385</v>
      </c>
    </row>
    <row r="12" spans="1:4" x14ac:dyDescent="0.3">
      <c r="B12" s="323" t="s">
        <v>151</v>
      </c>
      <c r="C12" s="323" t="s">
        <v>160</v>
      </c>
      <c r="D12" s="323" t="s">
        <v>159</v>
      </c>
    </row>
    <row r="13" spans="1:4" x14ac:dyDescent="0.3">
      <c r="C13" s="323" t="s">
        <v>152</v>
      </c>
      <c r="D13" s="323" t="s">
        <v>150</v>
      </c>
    </row>
    <row r="14" spans="1:4" x14ac:dyDescent="0.3">
      <c r="B14" s="323" t="s">
        <v>185</v>
      </c>
      <c r="C14" s="323" t="s">
        <v>202</v>
      </c>
      <c r="D14" s="323" t="s">
        <v>201</v>
      </c>
    </row>
    <row r="15" spans="1:4" x14ac:dyDescent="0.3">
      <c r="C15" s="323" t="s">
        <v>209</v>
      </c>
      <c r="D15" s="323" t="s">
        <v>208</v>
      </c>
    </row>
    <row r="16" spans="1:4" x14ac:dyDescent="0.3">
      <c r="B16" s="323" t="s">
        <v>230</v>
      </c>
      <c r="C16" s="323" t="s">
        <v>903</v>
      </c>
      <c r="D16" s="323" t="s">
        <v>904</v>
      </c>
    </row>
    <row r="17" spans="2:4" x14ac:dyDescent="0.3">
      <c r="C17" s="323" t="s">
        <v>913</v>
      </c>
      <c r="D17" s="323" t="s">
        <v>914</v>
      </c>
    </row>
    <row r="18" spans="2:4" x14ac:dyDescent="0.3">
      <c r="C18" s="323" t="s">
        <v>359</v>
      </c>
      <c r="D18" s="323" t="s">
        <v>771</v>
      </c>
    </row>
    <row r="19" spans="2:4" x14ac:dyDescent="0.3">
      <c r="B19" s="323" t="s">
        <v>288</v>
      </c>
      <c r="C19" s="323" t="s">
        <v>905</v>
      </c>
      <c r="D19" s="323" t="s">
        <v>906</v>
      </c>
    </row>
    <row r="20" spans="2:4" x14ac:dyDescent="0.3">
      <c r="C20" s="323" t="s">
        <v>917</v>
      </c>
      <c r="D20" s="323" t="s">
        <v>910</v>
      </c>
    </row>
    <row r="21" spans="2:4" x14ac:dyDescent="0.3">
      <c r="B21" s="323" t="s">
        <v>301</v>
      </c>
      <c r="C21" s="323" t="s">
        <v>305</v>
      </c>
      <c r="D21" s="323" t="s">
        <v>304</v>
      </c>
    </row>
    <row r="22" spans="2:4" x14ac:dyDescent="0.3">
      <c r="B22" s="323" t="s">
        <v>309</v>
      </c>
      <c r="C22" s="323" t="s">
        <v>351</v>
      </c>
      <c r="D22" s="323" t="s">
        <v>350</v>
      </c>
    </row>
    <row r="23" spans="2:4" x14ac:dyDescent="0.3">
      <c r="B23" s="323" t="s">
        <v>719</v>
      </c>
      <c r="C23" s="323" t="s">
        <v>1060</v>
      </c>
      <c r="D23" s="323" t="s">
        <v>1044</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F94" sqref="F94"/>
    </sheetView>
  </sheetViews>
  <sheetFormatPr defaultColWidth="9.109375" defaultRowHeight="14.4" x14ac:dyDescent="0.3"/>
  <cols>
    <col min="1" max="1" width="1.6640625" style="195" customWidth="1"/>
    <col min="2" max="2" width="11.33203125" style="195" customWidth="1"/>
    <col min="3" max="3" width="12.6640625" style="195" customWidth="1"/>
    <col min="4" max="4" width="47" style="195" bestFit="1" customWidth="1"/>
    <col min="5" max="5" width="19.109375" style="195" customWidth="1"/>
    <col min="6" max="6" width="18.5546875" style="195" customWidth="1"/>
    <col min="7" max="7" width="12" style="195" customWidth="1"/>
    <col min="8" max="8" width="10.6640625" style="268" customWidth="1"/>
    <col min="9" max="9" width="11.33203125" style="268" customWidth="1"/>
    <col min="10" max="10" width="12.33203125" style="195" customWidth="1"/>
    <col min="11" max="16384" width="9.109375" style="195"/>
  </cols>
  <sheetData>
    <row r="1" spans="2:12" ht="10.95" customHeight="1" x14ac:dyDescent="0.3"/>
    <row r="2" spans="2:12" ht="21.75" customHeight="1" x14ac:dyDescent="0.3">
      <c r="B2" s="259"/>
      <c r="C2" s="189"/>
      <c r="D2" s="189"/>
      <c r="E2" s="189"/>
      <c r="F2" s="189"/>
      <c r="G2" s="189"/>
      <c r="H2" s="189"/>
      <c r="I2" s="190"/>
      <c r="J2" s="325"/>
      <c r="K2" s="325"/>
      <c r="L2" s="194"/>
    </row>
    <row r="3" spans="2:12" ht="28.8" x14ac:dyDescent="0.3">
      <c r="B3" s="260" t="s">
        <v>786</v>
      </c>
      <c r="C3" s="261"/>
      <c r="D3" s="261"/>
      <c r="E3" s="261"/>
      <c r="F3" s="261"/>
      <c r="G3" s="261"/>
      <c r="H3" s="261"/>
      <c r="I3" s="262"/>
      <c r="J3" s="41"/>
      <c r="K3" s="41"/>
      <c r="L3" s="41"/>
    </row>
    <row r="4" spans="2:12" ht="28.8" x14ac:dyDescent="0.3">
      <c r="B4" s="750">
        <f>Definition!B23</f>
        <v>43191</v>
      </c>
      <c r="C4" s="751"/>
      <c r="D4" s="264"/>
      <c r="E4" s="264"/>
      <c r="F4" s="264"/>
      <c r="G4" s="264"/>
      <c r="H4" s="264"/>
      <c r="I4" s="265"/>
      <c r="J4" s="263"/>
      <c r="K4" s="263"/>
      <c r="L4" s="263"/>
    </row>
    <row r="5" spans="2:12" ht="17.25" customHeight="1" x14ac:dyDescent="0.3">
      <c r="B5" s="266" t="s">
        <v>458</v>
      </c>
      <c r="C5" s="267" t="s">
        <v>460</v>
      </c>
      <c r="D5" s="263"/>
      <c r="E5" s="263"/>
      <c r="F5" s="263"/>
      <c r="G5" s="263"/>
      <c r="H5" s="263"/>
      <c r="I5" s="263"/>
      <c r="J5" s="263"/>
      <c r="K5" s="42"/>
      <c r="L5" s="263"/>
    </row>
    <row r="6" spans="2:12" x14ac:dyDescent="0.3">
      <c r="B6" s="266" t="s">
        <v>1036</v>
      </c>
      <c r="C6" s="267" t="s">
        <v>995</v>
      </c>
    </row>
    <row r="7" spans="2:12" ht="6.75" customHeight="1" x14ac:dyDescent="0.3"/>
    <row r="8" spans="2:12" s="309" customFormat="1" x14ac:dyDescent="0.3">
      <c r="B8" s="304" t="s">
        <v>392</v>
      </c>
      <c r="C8" s="305" t="s">
        <v>0</v>
      </c>
      <c r="D8" s="305" t="s">
        <v>507</v>
      </c>
      <c r="E8" s="305" t="s">
        <v>833</v>
      </c>
      <c r="F8" s="306" t="s">
        <v>834</v>
      </c>
      <c r="G8" s="694" t="s">
        <v>457</v>
      </c>
      <c r="H8" s="307" t="s">
        <v>1420</v>
      </c>
      <c r="I8" s="484" t="s">
        <v>788</v>
      </c>
      <c r="J8"/>
      <c r="K8"/>
      <c r="L8" s="308"/>
    </row>
    <row r="9" spans="2:12" ht="12.75" customHeight="1" x14ac:dyDescent="0.3">
      <c r="B9" s="269" t="s">
        <v>378</v>
      </c>
      <c r="C9" s="191" t="s">
        <v>5</v>
      </c>
      <c r="D9" s="191" t="s">
        <v>6</v>
      </c>
      <c r="E9" s="191" t="s">
        <v>4</v>
      </c>
      <c r="F9" s="191" t="s">
        <v>935</v>
      </c>
      <c r="G9" s="191" t="s">
        <v>464</v>
      </c>
      <c r="H9" s="270">
        <v>257</v>
      </c>
      <c r="I9" s="271">
        <v>1278</v>
      </c>
      <c r="J9"/>
      <c r="K9"/>
    </row>
    <row r="10" spans="2:12" ht="12.75" customHeight="1" x14ac:dyDescent="0.3">
      <c r="B10" s="269"/>
      <c r="C10" s="191"/>
      <c r="D10" s="191" t="s">
        <v>465</v>
      </c>
      <c r="E10" s="191" t="s">
        <v>375</v>
      </c>
      <c r="F10" s="191" t="s">
        <v>424</v>
      </c>
      <c r="G10" s="191" t="s">
        <v>464</v>
      </c>
      <c r="H10" s="270">
        <v>12</v>
      </c>
      <c r="I10" s="271">
        <v>52</v>
      </c>
      <c r="J10"/>
      <c r="K10"/>
    </row>
    <row r="11" spans="2:12" ht="12.75" customHeight="1" x14ac:dyDescent="0.3">
      <c r="B11" s="269"/>
      <c r="C11" s="191"/>
      <c r="D11" s="191" t="s">
        <v>12</v>
      </c>
      <c r="E11" s="191" t="s">
        <v>11</v>
      </c>
      <c r="F11" s="191" t="s">
        <v>1322</v>
      </c>
      <c r="G11" s="191" t="s">
        <v>464</v>
      </c>
      <c r="H11" s="270">
        <v>190</v>
      </c>
      <c r="I11" s="271">
        <v>928</v>
      </c>
      <c r="J11"/>
      <c r="K11"/>
    </row>
    <row r="12" spans="2:12" ht="12.75" customHeight="1" x14ac:dyDescent="0.3">
      <c r="B12" s="269"/>
      <c r="C12" s="191"/>
      <c r="D12" s="191" t="s">
        <v>14</v>
      </c>
      <c r="E12" s="191" t="s">
        <v>13</v>
      </c>
      <c r="F12" s="191" t="s">
        <v>424</v>
      </c>
      <c r="G12" s="191" t="s">
        <v>464</v>
      </c>
      <c r="H12" s="270">
        <v>41</v>
      </c>
      <c r="I12" s="271">
        <v>227</v>
      </c>
      <c r="J12"/>
      <c r="K12"/>
    </row>
    <row r="13" spans="2:12" ht="12.75" customHeight="1" x14ac:dyDescent="0.3">
      <c r="B13" s="269"/>
      <c r="C13" s="191"/>
      <c r="D13" s="324" t="s">
        <v>18</v>
      </c>
      <c r="E13" s="191" t="s">
        <v>17</v>
      </c>
      <c r="F13" s="191" t="s">
        <v>462</v>
      </c>
      <c r="G13" s="191" t="s">
        <v>464</v>
      </c>
      <c r="H13" s="270">
        <v>129</v>
      </c>
      <c r="I13" s="271">
        <v>742</v>
      </c>
      <c r="J13"/>
      <c r="K13"/>
    </row>
    <row r="14" spans="2:12" ht="12.75" customHeight="1" x14ac:dyDescent="0.3">
      <c r="B14" s="269"/>
      <c r="C14" s="191"/>
      <c r="D14" s="324" t="s">
        <v>8</v>
      </c>
      <c r="E14" s="191" t="s">
        <v>7</v>
      </c>
      <c r="F14" s="191" t="s">
        <v>462</v>
      </c>
      <c r="G14" s="191" t="s">
        <v>464</v>
      </c>
      <c r="H14" s="270">
        <v>14</v>
      </c>
      <c r="I14" s="271">
        <v>59</v>
      </c>
      <c r="J14"/>
      <c r="K14"/>
    </row>
    <row r="15" spans="2:12" ht="12.75" customHeight="1" x14ac:dyDescent="0.3">
      <c r="B15" s="269"/>
      <c r="C15" s="191"/>
      <c r="D15" s="324" t="s">
        <v>20</v>
      </c>
      <c r="E15" s="191" t="s">
        <v>19</v>
      </c>
      <c r="F15" s="191" t="s">
        <v>935</v>
      </c>
      <c r="G15" s="191" t="s">
        <v>464</v>
      </c>
      <c r="H15" s="270">
        <v>15</v>
      </c>
      <c r="I15" s="271">
        <v>68</v>
      </c>
      <c r="J15"/>
      <c r="K15"/>
    </row>
    <row r="16" spans="2:12" ht="12.75" customHeight="1" x14ac:dyDescent="0.3">
      <c r="B16" s="269"/>
      <c r="C16" s="191"/>
      <c r="D16" s="324" t="s">
        <v>364</v>
      </c>
      <c r="E16" s="191" t="s">
        <v>374</v>
      </c>
      <c r="F16" s="191" t="s">
        <v>424</v>
      </c>
      <c r="G16" s="191" t="s">
        <v>464</v>
      </c>
      <c r="H16" s="270">
        <v>147</v>
      </c>
      <c r="I16" s="271">
        <v>771</v>
      </c>
      <c r="J16"/>
      <c r="K16"/>
    </row>
    <row r="17" spans="2:11" ht="12.75" customHeight="1" x14ac:dyDescent="0.3">
      <c r="B17" s="269"/>
      <c r="C17" s="191"/>
      <c r="D17" s="324" t="s">
        <v>22</v>
      </c>
      <c r="E17" s="191" t="s">
        <v>21</v>
      </c>
      <c r="F17" s="191" t="s">
        <v>424</v>
      </c>
      <c r="G17" s="191" t="s">
        <v>464</v>
      </c>
      <c r="H17" s="270">
        <v>641</v>
      </c>
      <c r="I17" s="271">
        <v>4010</v>
      </c>
      <c r="J17"/>
      <c r="K17"/>
    </row>
    <row r="18" spans="2:11" ht="12.75" customHeight="1" x14ac:dyDescent="0.3">
      <c r="B18" s="269"/>
      <c r="C18" s="191"/>
      <c r="D18" s="324" t="s">
        <v>24</v>
      </c>
      <c r="E18" s="191" t="s">
        <v>23</v>
      </c>
      <c r="F18" s="191" t="s">
        <v>462</v>
      </c>
      <c r="G18" s="191" t="s">
        <v>464</v>
      </c>
      <c r="H18" s="270">
        <v>20</v>
      </c>
      <c r="I18" s="271">
        <v>95</v>
      </c>
      <c r="J18"/>
      <c r="K18"/>
    </row>
    <row r="19" spans="2:11" ht="12.75" customHeight="1" x14ac:dyDescent="0.3">
      <c r="B19" s="269"/>
      <c r="C19" s="191"/>
      <c r="D19" s="191" t="s">
        <v>26</v>
      </c>
      <c r="E19" s="191" t="s">
        <v>25</v>
      </c>
      <c r="F19" s="191" t="s">
        <v>462</v>
      </c>
      <c r="G19" s="191" t="s">
        <v>464</v>
      </c>
      <c r="H19" s="270">
        <v>14</v>
      </c>
      <c r="I19" s="271">
        <v>77</v>
      </c>
      <c r="J19"/>
      <c r="K19"/>
    </row>
    <row r="20" spans="2:11" ht="12.75" customHeight="1" x14ac:dyDescent="0.3">
      <c r="B20" s="269"/>
      <c r="C20" s="191" t="s">
        <v>1631</v>
      </c>
      <c r="D20" s="191"/>
      <c r="E20" s="191"/>
      <c r="F20" s="191"/>
      <c r="G20" s="191"/>
      <c r="H20" s="270">
        <v>1480</v>
      </c>
      <c r="I20" s="271">
        <v>8307</v>
      </c>
      <c r="J20"/>
      <c r="K20"/>
    </row>
    <row r="21" spans="2:11" ht="12.75" customHeight="1" x14ac:dyDescent="0.3">
      <c r="B21" s="269"/>
      <c r="C21" s="191" t="s">
        <v>27</v>
      </c>
      <c r="D21" s="191" t="s">
        <v>28</v>
      </c>
      <c r="E21" s="191" t="s">
        <v>30</v>
      </c>
      <c r="F21" s="191" t="s">
        <v>462</v>
      </c>
      <c r="G21" s="191" t="s">
        <v>464</v>
      </c>
      <c r="H21" s="270">
        <v>107</v>
      </c>
      <c r="I21" s="271">
        <v>559</v>
      </c>
      <c r="J21"/>
      <c r="K21"/>
    </row>
    <row r="22" spans="2:11" ht="12.75" customHeight="1" x14ac:dyDescent="0.3">
      <c r="B22" s="269"/>
      <c r="C22" s="191"/>
      <c r="D22" s="191" t="s">
        <v>362</v>
      </c>
      <c r="E22" s="191" t="s">
        <v>29</v>
      </c>
      <c r="F22" s="191" t="s">
        <v>424</v>
      </c>
      <c r="G22" s="191" t="s">
        <v>466</v>
      </c>
      <c r="H22" s="270">
        <v>160</v>
      </c>
      <c r="I22" s="271">
        <v>830</v>
      </c>
      <c r="J22"/>
      <c r="K22"/>
    </row>
    <row r="23" spans="2:11" ht="12.75" customHeight="1" x14ac:dyDescent="0.3">
      <c r="B23" s="269"/>
      <c r="C23" s="191"/>
      <c r="D23" s="191" t="s">
        <v>363</v>
      </c>
      <c r="E23" s="191" t="s">
        <v>376</v>
      </c>
      <c r="F23" s="191" t="s">
        <v>462</v>
      </c>
      <c r="G23" s="191" t="s">
        <v>464</v>
      </c>
      <c r="H23" s="270">
        <v>143</v>
      </c>
      <c r="I23" s="271">
        <v>640</v>
      </c>
      <c r="J23"/>
      <c r="K23"/>
    </row>
    <row r="24" spans="2:11" ht="12.75" customHeight="1" x14ac:dyDescent="0.3">
      <c r="B24" s="269"/>
      <c r="C24" s="191"/>
      <c r="D24" s="191" t="s">
        <v>790</v>
      </c>
      <c r="E24" s="191" t="s">
        <v>789</v>
      </c>
      <c r="F24" s="191" t="s">
        <v>936</v>
      </c>
      <c r="G24" s="191" t="s">
        <v>464</v>
      </c>
      <c r="H24" s="270">
        <v>57</v>
      </c>
      <c r="I24" s="271">
        <v>270</v>
      </c>
      <c r="J24"/>
      <c r="K24"/>
    </row>
    <row r="25" spans="2:11" ht="12.75" customHeight="1" x14ac:dyDescent="0.3">
      <c r="B25" s="269"/>
      <c r="C25" s="191"/>
      <c r="D25" s="191" t="s">
        <v>875</v>
      </c>
      <c r="E25" s="191" t="s">
        <v>876</v>
      </c>
      <c r="F25" s="191" t="s">
        <v>936</v>
      </c>
      <c r="G25" s="191" t="s">
        <v>464</v>
      </c>
      <c r="H25" s="270">
        <v>30</v>
      </c>
      <c r="I25" s="271">
        <v>172</v>
      </c>
      <c r="J25"/>
      <c r="K25"/>
    </row>
    <row r="26" spans="2:11" x14ac:dyDescent="0.3">
      <c r="B26" s="269"/>
      <c r="C26" s="191" t="s">
        <v>953</v>
      </c>
      <c r="D26" s="191"/>
      <c r="E26" s="191"/>
      <c r="F26" s="191"/>
      <c r="G26" s="191"/>
      <c r="H26" s="270">
        <v>497</v>
      </c>
      <c r="I26" s="271">
        <v>2471</v>
      </c>
      <c r="J26"/>
      <c r="K26"/>
    </row>
    <row r="27" spans="2:11" ht="12.75" customHeight="1" x14ac:dyDescent="0.3">
      <c r="B27" s="269"/>
      <c r="C27" s="191" t="s">
        <v>480</v>
      </c>
      <c r="D27" s="191" t="s">
        <v>120</v>
      </c>
      <c r="E27" s="191" t="s">
        <v>119</v>
      </c>
      <c r="F27" s="191" t="s">
        <v>936</v>
      </c>
      <c r="G27" s="191" t="s">
        <v>464</v>
      </c>
      <c r="H27" s="270">
        <v>64</v>
      </c>
      <c r="I27" s="271">
        <v>324</v>
      </c>
      <c r="J27"/>
      <c r="K27"/>
    </row>
    <row r="28" spans="2:11" ht="12.75" customHeight="1" x14ac:dyDescent="0.3">
      <c r="B28" s="269"/>
      <c r="C28" s="191"/>
      <c r="D28" s="191" t="s">
        <v>41</v>
      </c>
      <c r="E28" s="191" t="s">
        <v>40</v>
      </c>
      <c r="F28" s="191" t="s">
        <v>462</v>
      </c>
      <c r="G28" s="191" t="s">
        <v>464</v>
      </c>
      <c r="H28" s="270">
        <v>65</v>
      </c>
      <c r="I28" s="271">
        <v>353</v>
      </c>
      <c r="J28"/>
      <c r="K28"/>
    </row>
    <row r="29" spans="2:11" ht="12.75" customHeight="1" x14ac:dyDescent="0.3">
      <c r="B29" s="269"/>
      <c r="C29" s="191"/>
      <c r="D29" s="191" t="s">
        <v>43</v>
      </c>
      <c r="E29" s="191" t="s">
        <v>42</v>
      </c>
      <c r="F29" s="191" t="s">
        <v>462</v>
      </c>
      <c r="G29" s="191" t="s">
        <v>464</v>
      </c>
      <c r="H29" s="270">
        <v>14</v>
      </c>
      <c r="I29" s="271">
        <v>81</v>
      </c>
      <c r="J29"/>
      <c r="K29"/>
    </row>
    <row r="30" spans="2:11" ht="12.75" customHeight="1" x14ac:dyDescent="0.3">
      <c r="B30" s="269"/>
      <c r="C30" s="191"/>
      <c r="D30" s="191" t="s">
        <v>52</v>
      </c>
      <c r="E30" s="191" t="s">
        <v>51</v>
      </c>
      <c r="F30" s="191" t="s">
        <v>424</v>
      </c>
      <c r="G30" s="191" t="s">
        <v>464</v>
      </c>
      <c r="H30" s="270">
        <v>36</v>
      </c>
      <c r="I30" s="271">
        <v>228</v>
      </c>
      <c r="J30"/>
      <c r="K30"/>
    </row>
    <row r="31" spans="2:11" ht="12.75" customHeight="1" x14ac:dyDescent="0.3">
      <c r="B31" s="269"/>
      <c r="C31" s="191"/>
      <c r="D31" s="191" t="s">
        <v>72</v>
      </c>
      <c r="E31" s="191" t="s">
        <v>71</v>
      </c>
      <c r="F31" s="191" t="s">
        <v>1322</v>
      </c>
      <c r="G31" s="191" t="s">
        <v>464</v>
      </c>
      <c r="H31" s="270">
        <v>5</v>
      </c>
      <c r="I31" s="271">
        <v>27</v>
      </c>
      <c r="J31"/>
      <c r="K31"/>
    </row>
    <row r="32" spans="2:11" ht="12.75" customHeight="1" x14ac:dyDescent="0.3">
      <c r="B32" s="269"/>
      <c r="C32" s="191"/>
      <c r="D32" s="191" t="s">
        <v>76</v>
      </c>
      <c r="E32" s="191" t="s">
        <v>75</v>
      </c>
      <c r="F32" s="191" t="s">
        <v>462</v>
      </c>
      <c r="G32" s="191" t="s">
        <v>464</v>
      </c>
      <c r="H32" s="270">
        <v>70</v>
      </c>
      <c r="I32" s="271">
        <v>375</v>
      </c>
      <c r="J32"/>
      <c r="K32"/>
    </row>
    <row r="33" spans="2:11" x14ac:dyDescent="0.3">
      <c r="B33" s="269"/>
      <c r="C33" s="191"/>
      <c r="D33" s="191" t="s">
        <v>88</v>
      </c>
      <c r="E33" s="191" t="s">
        <v>87</v>
      </c>
      <c r="F33" s="191" t="s">
        <v>424</v>
      </c>
      <c r="G33" s="191" t="s">
        <v>464</v>
      </c>
      <c r="H33" s="270">
        <v>13</v>
      </c>
      <c r="I33" s="271">
        <v>46</v>
      </c>
      <c r="J33"/>
      <c r="K33"/>
    </row>
    <row r="34" spans="2:11" ht="12.75" customHeight="1" x14ac:dyDescent="0.3">
      <c r="B34" s="269"/>
      <c r="C34" s="191"/>
      <c r="D34" s="191" t="s">
        <v>44</v>
      </c>
      <c r="E34" s="191" t="s">
        <v>45</v>
      </c>
      <c r="F34" s="191" t="s">
        <v>1322</v>
      </c>
      <c r="G34" s="191" t="s">
        <v>464</v>
      </c>
      <c r="H34" s="270">
        <v>4</v>
      </c>
      <c r="I34" s="271">
        <v>27</v>
      </c>
      <c r="J34"/>
      <c r="K34"/>
    </row>
    <row r="35" spans="2:11" ht="12.75" customHeight="1" x14ac:dyDescent="0.3">
      <c r="B35" s="269"/>
      <c r="C35" s="191"/>
      <c r="D35" s="191" t="s">
        <v>90</v>
      </c>
      <c r="E35" s="191" t="s">
        <v>89</v>
      </c>
      <c r="F35" s="191" t="s">
        <v>462</v>
      </c>
      <c r="G35" s="191" t="s">
        <v>464</v>
      </c>
      <c r="H35" s="270">
        <v>19</v>
      </c>
      <c r="I35" s="271">
        <v>102</v>
      </c>
      <c r="J35"/>
      <c r="K35"/>
    </row>
    <row r="36" spans="2:11" ht="12.75" customHeight="1" x14ac:dyDescent="0.3">
      <c r="B36" s="269"/>
      <c r="C36" s="191"/>
      <c r="D36" s="191" t="s">
        <v>92</v>
      </c>
      <c r="E36" s="191" t="s">
        <v>91</v>
      </c>
      <c r="F36" s="191" t="s">
        <v>462</v>
      </c>
      <c r="G36" s="191" t="s">
        <v>464</v>
      </c>
      <c r="H36" s="270">
        <v>12</v>
      </c>
      <c r="I36" s="271">
        <v>61</v>
      </c>
      <c r="J36"/>
      <c r="K36"/>
    </row>
    <row r="37" spans="2:11" ht="12.75" customHeight="1" x14ac:dyDescent="0.3">
      <c r="B37" s="269"/>
      <c r="C37" s="191"/>
      <c r="D37" s="191" t="s">
        <v>100</v>
      </c>
      <c r="E37" s="191" t="s">
        <v>99</v>
      </c>
      <c r="F37" s="191" t="s">
        <v>1322</v>
      </c>
      <c r="G37" s="191" t="s">
        <v>464</v>
      </c>
      <c r="H37" s="270">
        <v>4</v>
      </c>
      <c r="I37" s="271">
        <v>15</v>
      </c>
      <c r="J37"/>
      <c r="K37"/>
    </row>
    <row r="38" spans="2:11" x14ac:dyDescent="0.3">
      <c r="B38" s="269"/>
      <c r="C38" s="191"/>
      <c r="D38" s="191" t="s">
        <v>551</v>
      </c>
      <c r="E38" s="191" t="s">
        <v>46</v>
      </c>
      <c r="F38" s="191" t="s">
        <v>1322</v>
      </c>
      <c r="G38" s="191" t="s">
        <v>464</v>
      </c>
      <c r="H38" s="270">
        <v>11</v>
      </c>
      <c r="I38" s="271">
        <v>46</v>
      </c>
      <c r="J38"/>
      <c r="K38"/>
    </row>
    <row r="39" spans="2:11" ht="12.75" customHeight="1" x14ac:dyDescent="0.3">
      <c r="B39" s="269"/>
      <c r="C39" s="191"/>
      <c r="D39" s="191" t="s">
        <v>108</v>
      </c>
      <c r="E39" s="191" t="s">
        <v>107</v>
      </c>
      <c r="F39" s="191" t="s">
        <v>936</v>
      </c>
      <c r="G39" s="191" t="s">
        <v>464</v>
      </c>
      <c r="H39" s="270">
        <v>49</v>
      </c>
      <c r="I39" s="271">
        <v>230</v>
      </c>
      <c r="J39"/>
      <c r="K39"/>
    </row>
    <row r="40" spans="2:11" ht="12.75" customHeight="1" x14ac:dyDescent="0.3">
      <c r="B40" s="269"/>
      <c r="C40" s="191"/>
      <c r="D40" s="191" t="s">
        <v>118</v>
      </c>
      <c r="E40" s="191" t="s">
        <v>117</v>
      </c>
      <c r="F40" s="191" t="s">
        <v>1322</v>
      </c>
      <c r="G40" s="191" t="s">
        <v>464</v>
      </c>
      <c r="H40" s="270">
        <v>10</v>
      </c>
      <c r="I40" s="271">
        <v>39</v>
      </c>
      <c r="J40"/>
      <c r="K40"/>
    </row>
    <row r="41" spans="2:11" ht="12.75" customHeight="1" x14ac:dyDescent="0.3">
      <c r="B41" s="269"/>
      <c r="C41" s="191"/>
      <c r="D41" s="191" t="s">
        <v>126</v>
      </c>
      <c r="E41" s="191" t="s">
        <v>125</v>
      </c>
      <c r="F41" s="191" t="s">
        <v>424</v>
      </c>
      <c r="G41" s="191" t="s">
        <v>464</v>
      </c>
      <c r="H41" s="270">
        <v>32</v>
      </c>
      <c r="I41" s="271">
        <v>180</v>
      </c>
      <c r="J41"/>
      <c r="K41"/>
    </row>
    <row r="42" spans="2:11" ht="12.75" customHeight="1" x14ac:dyDescent="0.3">
      <c r="B42" s="269"/>
      <c r="C42" s="191"/>
      <c r="D42" s="191" t="s">
        <v>140</v>
      </c>
      <c r="E42" s="191" t="s">
        <v>139</v>
      </c>
      <c r="F42" s="191" t="s">
        <v>424</v>
      </c>
      <c r="G42" s="191" t="s">
        <v>464</v>
      </c>
      <c r="H42" s="270">
        <v>16</v>
      </c>
      <c r="I42" s="271">
        <v>66</v>
      </c>
      <c r="J42"/>
      <c r="K42"/>
    </row>
    <row r="43" spans="2:11" ht="12.75" customHeight="1" x14ac:dyDescent="0.3">
      <c r="B43" s="269"/>
      <c r="C43" s="191"/>
      <c r="D43" s="191" t="s">
        <v>915</v>
      </c>
      <c r="E43" s="191" t="s">
        <v>916</v>
      </c>
      <c r="F43" s="191" t="s">
        <v>424</v>
      </c>
      <c r="G43" s="191" t="s">
        <v>464</v>
      </c>
      <c r="H43" s="270">
        <v>104</v>
      </c>
      <c r="I43" s="271">
        <v>510</v>
      </c>
      <c r="J43"/>
      <c r="K43"/>
    </row>
    <row r="44" spans="2:11" ht="12.75" customHeight="1" x14ac:dyDescent="0.3">
      <c r="B44" s="269"/>
      <c r="C44" s="191"/>
      <c r="D44" s="191" t="s">
        <v>1159</v>
      </c>
      <c r="E44" s="191" t="s">
        <v>1162</v>
      </c>
      <c r="F44" s="191" t="s">
        <v>424</v>
      </c>
      <c r="G44" s="191" t="s">
        <v>464</v>
      </c>
      <c r="H44" s="270">
        <v>29</v>
      </c>
      <c r="I44" s="271">
        <v>118</v>
      </c>
      <c r="J44"/>
      <c r="K44"/>
    </row>
    <row r="45" spans="2:11" ht="12.75" customHeight="1" x14ac:dyDescent="0.3">
      <c r="B45" s="269"/>
      <c r="C45" s="191"/>
      <c r="D45" s="191" t="s">
        <v>1158</v>
      </c>
      <c r="E45" s="191" t="s">
        <v>1164</v>
      </c>
      <c r="F45" s="191" t="s">
        <v>1322</v>
      </c>
      <c r="G45" s="191" t="s">
        <v>464</v>
      </c>
      <c r="H45" s="270">
        <v>5</v>
      </c>
      <c r="I45" s="271">
        <v>13</v>
      </c>
      <c r="J45"/>
      <c r="K45"/>
    </row>
    <row r="46" spans="2:11" ht="12.75" customHeight="1" x14ac:dyDescent="0.3">
      <c r="B46" s="269"/>
      <c r="C46" s="191"/>
      <c r="D46" s="191" t="s">
        <v>1157</v>
      </c>
      <c r="E46" s="191" t="s">
        <v>1165</v>
      </c>
      <c r="F46" s="191" t="s">
        <v>936</v>
      </c>
      <c r="G46" s="191" t="s">
        <v>464</v>
      </c>
      <c r="H46" s="270">
        <v>21</v>
      </c>
      <c r="I46" s="271">
        <v>90</v>
      </c>
      <c r="J46"/>
      <c r="K46"/>
    </row>
    <row r="47" spans="2:11" ht="12.75" customHeight="1" x14ac:dyDescent="0.3">
      <c r="B47" s="269"/>
      <c r="C47" s="191"/>
      <c r="D47" s="191" t="s">
        <v>1282</v>
      </c>
      <c r="E47" s="191" t="s">
        <v>1273</v>
      </c>
      <c r="F47" s="191" t="s">
        <v>424</v>
      </c>
      <c r="G47" s="191" t="s">
        <v>464</v>
      </c>
      <c r="H47" s="270">
        <v>123</v>
      </c>
      <c r="I47" s="271">
        <v>656</v>
      </c>
      <c r="J47"/>
      <c r="K47"/>
    </row>
    <row r="48" spans="2:11" ht="12.75" customHeight="1" x14ac:dyDescent="0.3">
      <c r="B48" s="269"/>
      <c r="C48" s="191" t="s">
        <v>988</v>
      </c>
      <c r="D48" s="191"/>
      <c r="E48" s="191"/>
      <c r="F48" s="191"/>
      <c r="G48" s="191"/>
      <c r="H48" s="270">
        <v>706</v>
      </c>
      <c r="I48" s="271">
        <v>3587</v>
      </c>
      <c r="J48"/>
      <c r="K48"/>
    </row>
    <row r="49" spans="2:11" ht="12.75" customHeight="1" x14ac:dyDescent="0.3">
      <c r="B49" s="269"/>
      <c r="C49" s="191" t="s">
        <v>151</v>
      </c>
      <c r="D49" s="191" t="s">
        <v>188</v>
      </c>
      <c r="E49" s="191" t="s">
        <v>187</v>
      </c>
      <c r="F49" s="191" t="s">
        <v>935</v>
      </c>
      <c r="G49" s="191" t="s">
        <v>466</v>
      </c>
      <c r="H49" s="270">
        <v>365</v>
      </c>
      <c r="I49" s="271">
        <v>1729</v>
      </c>
      <c r="J49"/>
      <c r="K49"/>
    </row>
    <row r="50" spans="2:11" ht="12.75" customHeight="1" x14ac:dyDescent="0.3">
      <c r="B50" s="269"/>
      <c r="C50" s="191"/>
      <c r="D50" s="191" t="s">
        <v>12</v>
      </c>
      <c r="E50" s="191" t="s">
        <v>388</v>
      </c>
      <c r="F50" s="191" t="s">
        <v>1322</v>
      </c>
      <c r="G50" s="191" t="s">
        <v>464</v>
      </c>
      <c r="H50" s="270">
        <v>80</v>
      </c>
      <c r="I50" s="271">
        <v>290</v>
      </c>
      <c r="J50"/>
      <c r="K50"/>
    </row>
    <row r="51" spans="2:11" ht="12.75" customHeight="1" x14ac:dyDescent="0.3">
      <c r="B51" s="269"/>
      <c r="C51" s="191"/>
      <c r="D51" s="191" t="s">
        <v>198</v>
      </c>
      <c r="E51" s="191" t="s">
        <v>197</v>
      </c>
      <c r="F51" s="191" t="s">
        <v>935</v>
      </c>
      <c r="G51" s="191" t="s">
        <v>466</v>
      </c>
      <c r="H51" s="270">
        <v>544</v>
      </c>
      <c r="I51" s="271">
        <v>2424</v>
      </c>
      <c r="J51"/>
      <c r="K51"/>
    </row>
    <row r="52" spans="2:11" ht="12.75" customHeight="1" x14ac:dyDescent="0.3">
      <c r="B52" s="269"/>
      <c r="C52" s="191"/>
      <c r="D52" s="191" t="s">
        <v>811</v>
      </c>
      <c r="E52" s="191" t="s">
        <v>812</v>
      </c>
      <c r="F52" s="191" t="s">
        <v>424</v>
      </c>
      <c r="G52" s="191" t="s">
        <v>464</v>
      </c>
      <c r="H52" s="270">
        <v>432</v>
      </c>
      <c r="I52" s="271">
        <v>2149</v>
      </c>
      <c r="J52"/>
      <c r="K52"/>
    </row>
    <row r="53" spans="2:11" ht="12.75" customHeight="1" x14ac:dyDescent="0.3">
      <c r="B53" s="269"/>
      <c r="C53" s="191"/>
      <c r="D53" s="191" t="s">
        <v>160</v>
      </c>
      <c r="E53" s="191" t="s">
        <v>159</v>
      </c>
      <c r="F53" s="191" t="s">
        <v>424</v>
      </c>
      <c r="G53" s="191" t="s">
        <v>464</v>
      </c>
      <c r="H53" s="270">
        <v>127</v>
      </c>
      <c r="I53" s="271">
        <v>649</v>
      </c>
      <c r="J53"/>
      <c r="K53"/>
    </row>
    <row r="54" spans="2:11" ht="12.75" customHeight="1" x14ac:dyDescent="0.3">
      <c r="B54" s="269"/>
      <c r="C54" s="191"/>
      <c r="D54" s="191" t="s">
        <v>154</v>
      </c>
      <c r="E54" s="191" t="s">
        <v>153</v>
      </c>
      <c r="F54" s="191" t="s">
        <v>935</v>
      </c>
      <c r="G54" s="191" t="s">
        <v>464</v>
      </c>
      <c r="H54" s="270">
        <v>446</v>
      </c>
      <c r="I54" s="271">
        <v>2329</v>
      </c>
      <c r="J54"/>
      <c r="K54"/>
    </row>
    <row r="55" spans="2:11" ht="12.75" customHeight="1" x14ac:dyDescent="0.3">
      <c r="B55" s="269"/>
      <c r="C55" s="191"/>
      <c r="D55" s="191" t="s">
        <v>156</v>
      </c>
      <c r="E55" s="191" t="s">
        <v>155</v>
      </c>
      <c r="F55" s="191" t="s">
        <v>1322</v>
      </c>
      <c r="G55" s="191" t="s">
        <v>464</v>
      </c>
      <c r="H55" s="270">
        <v>175</v>
      </c>
      <c r="I55" s="271">
        <v>834</v>
      </c>
      <c r="J55"/>
      <c r="K55"/>
    </row>
    <row r="56" spans="2:11" ht="12.75" customHeight="1" x14ac:dyDescent="0.3">
      <c r="B56" s="269"/>
      <c r="C56" s="191"/>
      <c r="D56" s="191" t="s">
        <v>152</v>
      </c>
      <c r="E56" s="191" t="s">
        <v>150</v>
      </c>
      <c r="F56" s="191" t="s">
        <v>424</v>
      </c>
      <c r="G56" s="191" t="s">
        <v>464</v>
      </c>
      <c r="H56" s="270">
        <v>185</v>
      </c>
      <c r="I56" s="271">
        <v>830</v>
      </c>
      <c r="J56"/>
      <c r="K56"/>
    </row>
    <row r="57" spans="2:11" ht="12.75" customHeight="1" x14ac:dyDescent="0.3">
      <c r="B57" s="269"/>
      <c r="C57" s="191"/>
      <c r="D57" s="191" t="s">
        <v>847</v>
      </c>
      <c r="E57" s="191" t="s">
        <v>846</v>
      </c>
      <c r="F57" s="191" t="s">
        <v>935</v>
      </c>
      <c r="G57" s="191" t="s">
        <v>464</v>
      </c>
      <c r="H57" s="270">
        <v>169</v>
      </c>
      <c r="I57" s="271">
        <v>775</v>
      </c>
      <c r="J57"/>
      <c r="K57"/>
    </row>
    <row r="58" spans="2:11" ht="12.75" customHeight="1" x14ac:dyDescent="0.3">
      <c r="B58" s="269"/>
      <c r="C58" s="191"/>
      <c r="D58" s="191" t="s">
        <v>911</v>
      </c>
      <c r="E58" s="191" t="s">
        <v>912</v>
      </c>
      <c r="F58" s="191" t="s">
        <v>935</v>
      </c>
      <c r="G58" s="191" t="s">
        <v>464</v>
      </c>
      <c r="H58" s="270">
        <v>156</v>
      </c>
      <c r="I58" s="271">
        <v>711</v>
      </c>
      <c r="J58"/>
      <c r="K58"/>
    </row>
    <row r="59" spans="2:11" ht="12.75" customHeight="1" x14ac:dyDescent="0.3">
      <c r="B59" s="269"/>
      <c r="C59" s="191"/>
      <c r="D59" s="191" t="s">
        <v>938</v>
      </c>
      <c r="E59" s="191" t="s">
        <v>939</v>
      </c>
      <c r="F59" s="191" t="s">
        <v>424</v>
      </c>
      <c r="G59" s="191" t="s">
        <v>464</v>
      </c>
      <c r="H59" s="270">
        <v>154</v>
      </c>
      <c r="I59" s="271">
        <v>670</v>
      </c>
      <c r="J59"/>
      <c r="K59"/>
    </row>
    <row r="60" spans="2:11" ht="12.75" customHeight="1" x14ac:dyDescent="0.3">
      <c r="B60" s="269"/>
      <c r="C60" s="191" t="s">
        <v>1635</v>
      </c>
      <c r="D60" s="191"/>
      <c r="E60" s="191"/>
      <c r="F60" s="191"/>
      <c r="G60" s="191"/>
      <c r="H60" s="270">
        <v>2833</v>
      </c>
      <c r="I60" s="271">
        <v>13390</v>
      </c>
      <c r="J60"/>
      <c r="K60"/>
    </row>
    <row r="61" spans="2:11" ht="12.75" customHeight="1" x14ac:dyDescent="0.3">
      <c r="B61" s="269"/>
      <c r="C61" s="191" t="s">
        <v>173</v>
      </c>
      <c r="D61" s="191" t="s">
        <v>174</v>
      </c>
      <c r="E61" s="191" t="s">
        <v>172</v>
      </c>
      <c r="F61" s="191" t="s">
        <v>424</v>
      </c>
      <c r="G61" s="191" t="s">
        <v>464</v>
      </c>
      <c r="H61" s="270">
        <v>13</v>
      </c>
      <c r="I61" s="271">
        <v>70</v>
      </c>
      <c r="J61"/>
      <c r="K61"/>
    </row>
    <row r="62" spans="2:11" ht="12.75" customHeight="1" x14ac:dyDescent="0.3">
      <c r="B62" s="269"/>
      <c r="C62" s="191"/>
      <c r="D62" s="191" t="s">
        <v>178</v>
      </c>
      <c r="E62" s="191" t="s">
        <v>177</v>
      </c>
      <c r="F62" s="191" t="s">
        <v>424</v>
      </c>
      <c r="G62" s="191" t="s">
        <v>464</v>
      </c>
      <c r="H62" s="270">
        <v>10</v>
      </c>
      <c r="I62" s="271">
        <v>41</v>
      </c>
      <c r="J62"/>
      <c r="K62"/>
    </row>
    <row r="63" spans="2:11" ht="12.75" customHeight="1" x14ac:dyDescent="0.3">
      <c r="B63" s="269"/>
      <c r="C63" s="191"/>
      <c r="D63" s="191" t="s">
        <v>1062</v>
      </c>
      <c r="E63" s="191" t="s">
        <v>1056</v>
      </c>
      <c r="F63" s="191" t="s">
        <v>424</v>
      </c>
      <c r="G63" s="191" t="s">
        <v>464</v>
      </c>
      <c r="H63" s="270">
        <v>27</v>
      </c>
      <c r="I63" s="271">
        <v>135</v>
      </c>
      <c r="J63"/>
      <c r="K63"/>
    </row>
    <row r="64" spans="2:11" ht="12.75" customHeight="1" x14ac:dyDescent="0.3">
      <c r="B64" s="269"/>
      <c r="C64" s="191"/>
      <c r="D64" s="191" t="s">
        <v>1502</v>
      </c>
      <c r="E64" s="191" t="s">
        <v>175</v>
      </c>
      <c r="F64" s="191" t="s">
        <v>424</v>
      </c>
      <c r="G64" s="191" t="s">
        <v>464</v>
      </c>
      <c r="H64" s="270">
        <v>16</v>
      </c>
      <c r="I64" s="271">
        <v>79</v>
      </c>
      <c r="J64"/>
      <c r="K64"/>
    </row>
    <row r="65" spans="2:11" ht="12.75" customHeight="1" x14ac:dyDescent="0.3">
      <c r="B65" s="269"/>
      <c r="C65" s="191"/>
      <c r="D65" s="191" t="s">
        <v>1851</v>
      </c>
      <c r="E65" s="191" t="s">
        <v>1839</v>
      </c>
      <c r="F65" s="191" t="s">
        <v>1322</v>
      </c>
      <c r="G65" s="191" t="s">
        <v>464</v>
      </c>
      <c r="H65" s="270">
        <v>45</v>
      </c>
      <c r="I65" s="271">
        <v>212</v>
      </c>
      <c r="J65"/>
      <c r="K65"/>
    </row>
    <row r="66" spans="2:11" ht="12.75" customHeight="1" x14ac:dyDescent="0.3">
      <c r="B66" s="269"/>
      <c r="C66" s="191"/>
      <c r="D66" s="191" t="s">
        <v>1852</v>
      </c>
      <c r="E66" s="191" t="s">
        <v>1840</v>
      </c>
      <c r="F66" s="191" t="s">
        <v>1322</v>
      </c>
      <c r="G66" s="191" t="s">
        <v>464</v>
      </c>
      <c r="H66" s="270">
        <v>89</v>
      </c>
      <c r="I66" s="271">
        <v>372</v>
      </c>
      <c r="J66"/>
      <c r="K66"/>
    </row>
    <row r="67" spans="2:11" ht="12.75" customHeight="1" x14ac:dyDescent="0.3">
      <c r="B67" s="269"/>
      <c r="C67" s="191"/>
      <c r="D67" s="191" t="s">
        <v>1853</v>
      </c>
      <c r="E67" s="191" t="s">
        <v>1841</v>
      </c>
      <c r="F67" s="191" t="s">
        <v>1322</v>
      </c>
      <c r="G67" s="191" t="s">
        <v>464</v>
      </c>
      <c r="H67" s="270">
        <v>110</v>
      </c>
      <c r="I67" s="271">
        <v>475</v>
      </c>
      <c r="J67"/>
      <c r="K67"/>
    </row>
    <row r="68" spans="2:11" ht="12.75" customHeight="1" x14ac:dyDescent="0.3">
      <c r="B68" s="269"/>
      <c r="C68" s="191"/>
      <c r="D68" s="191" t="s">
        <v>1856</v>
      </c>
      <c r="E68" s="191" t="s">
        <v>1842</v>
      </c>
      <c r="F68" s="191" t="s">
        <v>1322</v>
      </c>
      <c r="G68" s="191" t="s">
        <v>464</v>
      </c>
      <c r="H68" s="270">
        <v>33</v>
      </c>
      <c r="I68" s="271">
        <v>81</v>
      </c>
      <c r="J68"/>
      <c r="K68"/>
    </row>
    <row r="69" spans="2:11" ht="12.75" customHeight="1" x14ac:dyDescent="0.3">
      <c r="B69" s="269"/>
      <c r="C69" s="191" t="s">
        <v>1636</v>
      </c>
      <c r="D69" s="191"/>
      <c r="E69" s="191"/>
      <c r="F69" s="191"/>
      <c r="G69" s="191"/>
      <c r="H69" s="270">
        <v>343</v>
      </c>
      <c r="I69" s="271">
        <v>1465</v>
      </c>
      <c r="J69"/>
      <c r="K69"/>
    </row>
    <row r="70" spans="2:11" ht="12.75" customHeight="1" x14ac:dyDescent="0.3">
      <c r="B70" s="269"/>
      <c r="C70" s="191" t="s">
        <v>180</v>
      </c>
      <c r="D70" s="191" t="s">
        <v>286</v>
      </c>
      <c r="E70" s="191" t="s">
        <v>285</v>
      </c>
      <c r="F70" s="191" t="s">
        <v>424</v>
      </c>
      <c r="G70" s="191" t="s">
        <v>464</v>
      </c>
      <c r="H70" s="270">
        <v>24</v>
      </c>
      <c r="I70" s="271">
        <v>115</v>
      </c>
      <c r="J70"/>
      <c r="K70"/>
    </row>
    <row r="71" spans="2:11" ht="12.75" customHeight="1" x14ac:dyDescent="0.3">
      <c r="B71" s="269"/>
      <c r="C71" s="191"/>
      <c r="D71" s="191" t="s">
        <v>181</v>
      </c>
      <c r="E71" s="191" t="s">
        <v>179</v>
      </c>
      <c r="F71" s="191" t="s">
        <v>936</v>
      </c>
      <c r="G71" s="191" t="s">
        <v>464</v>
      </c>
      <c r="H71" s="270">
        <v>11</v>
      </c>
      <c r="I71" s="271">
        <v>55</v>
      </c>
      <c r="J71"/>
      <c r="K71"/>
    </row>
    <row r="72" spans="2:11" ht="12.75" customHeight="1" x14ac:dyDescent="0.3">
      <c r="B72" s="269"/>
      <c r="C72" s="191"/>
      <c r="D72" s="191" t="s">
        <v>984</v>
      </c>
      <c r="E72" s="191" t="s">
        <v>986</v>
      </c>
      <c r="F72" s="191" t="s">
        <v>1322</v>
      </c>
      <c r="G72" s="191" t="s">
        <v>464</v>
      </c>
      <c r="H72" s="270">
        <v>27</v>
      </c>
      <c r="I72" s="271">
        <v>121</v>
      </c>
      <c r="J72"/>
      <c r="K72"/>
    </row>
    <row r="73" spans="2:11" ht="12.75" customHeight="1" x14ac:dyDescent="0.3">
      <c r="B73" s="269"/>
      <c r="C73" s="191"/>
      <c r="D73" s="191" t="s">
        <v>985</v>
      </c>
      <c r="E73" s="191" t="s">
        <v>987</v>
      </c>
      <c r="F73" s="191" t="s">
        <v>1322</v>
      </c>
      <c r="G73" s="191" t="s">
        <v>464</v>
      </c>
      <c r="H73" s="270">
        <v>14</v>
      </c>
      <c r="I73" s="271">
        <v>63</v>
      </c>
      <c r="J73"/>
      <c r="K73"/>
    </row>
    <row r="74" spans="2:11" ht="12.75" customHeight="1" x14ac:dyDescent="0.3">
      <c r="B74" s="269"/>
      <c r="C74" s="191" t="s">
        <v>1637</v>
      </c>
      <c r="D74" s="191"/>
      <c r="E74" s="191"/>
      <c r="F74" s="191"/>
      <c r="G74" s="191"/>
      <c r="H74" s="270">
        <v>76</v>
      </c>
      <c r="I74" s="271">
        <v>354</v>
      </c>
      <c r="J74"/>
      <c r="K74"/>
    </row>
    <row r="75" spans="2:11" ht="12.75" customHeight="1" x14ac:dyDescent="0.3">
      <c r="B75" s="269"/>
      <c r="C75" s="191" t="s">
        <v>185</v>
      </c>
      <c r="D75" s="191" t="s">
        <v>192</v>
      </c>
      <c r="E75" s="191" t="s">
        <v>191</v>
      </c>
      <c r="F75" s="191" t="s">
        <v>936</v>
      </c>
      <c r="G75" s="191" t="s">
        <v>466</v>
      </c>
      <c r="H75" s="270">
        <v>93</v>
      </c>
      <c r="I75" s="271">
        <v>428</v>
      </c>
      <c r="J75"/>
      <c r="K75"/>
    </row>
    <row r="76" spans="2:11" ht="12.75" customHeight="1" x14ac:dyDescent="0.3">
      <c r="B76" s="269"/>
      <c r="C76" s="191"/>
      <c r="D76" s="191" t="s">
        <v>12</v>
      </c>
      <c r="E76" s="191" t="s">
        <v>389</v>
      </c>
      <c r="F76" s="191" t="s">
        <v>1322</v>
      </c>
      <c r="G76" s="191" t="s">
        <v>464</v>
      </c>
      <c r="H76" s="270">
        <v>223</v>
      </c>
      <c r="I76" s="271">
        <v>1067</v>
      </c>
      <c r="J76"/>
      <c r="K76"/>
    </row>
    <row r="77" spans="2:11" ht="12.75" customHeight="1" x14ac:dyDescent="0.3">
      <c r="B77" s="269"/>
      <c r="C77" s="191"/>
      <c r="D77" s="191" t="s">
        <v>194</v>
      </c>
      <c r="E77" s="191" t="s">
        <v>193</v>
      </c>
      <c r="F77" s="191" t="s">
        <v>936</v>
      </c>
      <c r="G77" s="191" t="s">
        <v>466</v>
      </c>
      <c r="H77" s="270">
        <v>716</v>
      </c>
      <c r="I77" s="271">
        <v>3646</v>
      </c>
      <c r="J77"/>
      <c r="K77"/>
    </row>
    <row r="78" spans="2:11" ht="12.75" customHeight="1" x14ac:dyDescent="0.3">
      <c r="B78" s="269"/>
      <c r="C78" s="191"/>
      <c r="D78" s="191" t="s">
        <v>196</v>
      </c>
      <c r="E78" s="191" t="s">
        <v>195</v>
      </c>
      <c r="F78" s="191" t="s">
        <v>936</v>
      </c>
      <c r="G78" s="191" t="s">
        <v>466</v>
      </c>
      <c r="H78" s="270">
        <v>1497</v>
      </c>
      <c r="I78" s="271">
        <v>8461</v>
      </c>
      <c r="J78"/>
      <c r="K78"/>
    </row>
    <row r="79" spans="2:11" ht="12.75" customHeight="1" x14ac:dyDescent="0.3">
      <c r="B79" s="269"/>
      <c r="C79" s="191"/>
      <c r="D79" s="191" t="s">
        <v>474</v>
      </c>
      <c r="E79" s="191" t="s">
        <v>475</v>
      </c>
      <c r="F79" s="191" t="s">
        <v>1322</v>
      </c>
      <c r="G79" s="191" t="s">
        <v>464</v>
      </c>
      <c r="H79" s="270">
        <v>3</v>
      </c>
      <c r="I79" s="271">
        <v>18</v>
      </c>
      <c r="J79"/>
      <c r="K79"/>
    </row>
    <row r="80" spans="2:11" ht="12.75" customHeight="1" x14ac:dyDescent="0.3">
      <c r="B80" s="269"/>
      <c r="C80" s="191"/>
      <c r="D80" s="191" t="s">
        <v>186</v>
      </c>
      <c r="E80" s="191" t="s">
        <v>184</v>
      </c>
      <c r="F80" s="191" t="s">
        <v>424</v>
      </c>
      <c r="G80" s="191" t="s">
        <v>464</v>
      </c>
      <c r="H80" s="270">
        <v>40</v>
      </c>
      <c r="I80" s="271">
        <v>240</v>
      </c>
      <c r="J80"/>
      <c r="K80"/>
    </row>
    <row r="81" spans="2:11" ht="12.75" customHeight="1" x14ac:dyDescent="0.3">
      <c r="B81" s="269"/>
      <c r="C81" s="191"/>
      <c r="D81" s="191" t="s">
        <v>223</v>
      </c>
      <c r="E81" s="191" t="s">
        <v>222</v>
      </c>
      <c r="F81" s="191" t="s">
        <v>935</v>
      </c>
      <c r="G81" s="191" t="s">
        <v>464</v>
      </c>
      <c r="H81" s="270">
        <v>129</v>
      </c>
      <c r="I81" s="271">
        <v>640</v>
      </c>
      <c r="J81"/>
      <c r="K81"/>
    </row>
    <row r="82" spans="2:11" ht="12.75" customHeight="1" x14ac:dyDescent="0.3">
      <c r="B82" s="269"/>
      <c r="C82" s="191"/>
      <c r="D82" s="191" t="s">
        <v>190</v>
      </c>
      <c r="E82" s="191" t="s">
        <v>189</v>
      </c>
      <c r="F82" s="191" t="s">
        <v>424</v>
      </c>
      <c r="G82" s="191" t="s">
        <v>464</v>
      </c>
      <c r="H82" s="270">
        <v>203</v>
      </c>
      <c r="I82" s="271">
        <v>1138</v>
      </c>
      <c r="J82"/>
      <c r="K82"/>
    </row>
    <row r="83" spans="2:11" ht="12.75" customHeight="1" x14ac:dyDescent="0.3">
      <c r="B83" s="269"/>
      <c r="C83" s="191"/>
      <c r="D83" s="191" t="s">
        <v>202</v>
      </c>
      <c r="E83" s="191" t="s">
        <v>201</v>
      </c>
      <c r="F83" s="191" t="s">
        <v>935</v>
      </c>
      <c r="G83" s="191" t="s">
        <v>464</v>
      </c>
      <c r="H83" s="270">
        <v>281</v>
      </c>
      <c r="I83" s="271">
        <v>1256</v>
      </c>
      <c r="J83"/>
      <c r="K83"/>
    </row>
    <row r="84" spans="2:11" ht="12.75" customHeight="1" x14ac:dyDescent="0.3">
      <c r="B84" s="269"/>
      <c r="C84" s="191"/>
      <c r="D84" s="191" t="s">
        <v>209</v>
      </c>
      <c r="E84" s="191" t="s">
        <v>208</v>
      </c>
      <c r="F84" s="191" t="s">
        <v>424</v>
      </c>
      <c r="G84" s="191" t="s">
        <v>464</v>
      </c>
      <c r="H84" s="270">
        <v>415</v>
      </c>
      <c r="I84" s="271">
        <v>1898</v>
      </c>
      <c r="J84"/>
      <c r="K84"/>
    </row>
    <row r="85" spans="2:11" ht="12.75" customHeight="1" x14ac:dyDescent="0.3">
      <c r="B85" s="269"/>
      <c r="C85" s="191"/>
      <c r="D85" s="191" t="s">
        <v>213</v>
      </c>
      <c r="E85" s="191" t="s">
        <v>212</v>
      </c>
      <c r="F85" s="191" t="s">
        <v>1322</v>
      </c>
      <c r="G85" s="191" t="s">
        <v>464</v>
      </c>
      <c r="H85" s="270">
        <v>47</v>
      </c>
      <c r="I85" s="271">
        <v>153</v>
      </c>
      <c r="J85"/>
      <c r="K85"/>
    </row>
    <row r="86" spans="2:11" ht="12.75" customHeight="1" x14ac:dyDescent="0.3">
      <c r="B86" s="269"/>
      <c r="C86" s="191"/>
      <c r="D86" s="191" t="s">
        <v>215</v>
      </c>
      <c r="E86" s="191" t="s">
        <v>214</v>
      </c>
      <c r="F86" s="191" t="s">
        <v>935</v>
      </c>
      <c r="G86" s="191" t="s">
        <v>466</v>
      </c>
      <c r="H86" s="270">
        <v>356</v>
      </c>
      <c r="I86" s="271">
        <v>1787</v>
      </c>
      <c r="J86"/>
      <c r="K86"/>
    </row>
    <row r="87" spans="2:11" ht="12.75" customHeight="1" x14ac:dyDescent="0.3">
      <c r="B87" s="269"/>
      <c r="C87" s="191"/>
      <c r="D87" s="191" t="s">
        <v>229</v>
      </c>
      <c r="E87" s="191" t="s">
        <v>228</v>
      </c>
      <c r="F87" s="191" t="s">
        <v>424</v>
      </c>
      <c r="G87" s="191" t="s">
        <v>464</v>
      </c>
      <c r="H87" s="270">
        <v>48</v>
      </c>
      <c r="I87" s="271">
        <v>293</v>
      </c>
      <c r="J87"/>
      <c r="K87"/>
    </row>
    <row r="88" spans="2:11" ht="12.75" customHeight="1" x14ac:dyDescent="0.3">
      <c r="B88" s="269"/>
      <c r="C88" s="191"/>
      <c r="D88" s="191" t="s">
        <v>219</v>
      </c>
      <c r="E88" s="191" t="s">
        <v>218</v>
      </c>
      <c r="F88" s="191" t="s">
        <v>935</v>
      </c>
      <c r="G88" s="191" t="s">
        <v>466</v>
      </c>
      <c r="H88" s="270">
        <v>651</v>
      </c>
      <c r="I88" s="271">
        <v>3631</v>
      </c>
      <c r="J88"/>
      <c r="K88"/>
    </row>
    <row r="89" spans="2:11" ht="12.75" customHeight="1" x14ac:dyDescent="0.3">
      <c r="B89" s="269"/>
      <c r="C89" s="191"/>
      <c r="D89" s="191" t="s">
        <v>225</v>
      </c>
      <c r="E89" s="191" t="s">
        <v>224</v>
      </c>
      <c r="F89" s="191" t="s">
        <v>424</v>
      </c>
      <c r="G89" s="191" t="s">
        <v>464</v>
      </c>
      <c r="H89" s="270">
        <v>43</v>
      </c>
      <c r="I89" s="271">
        <v>269</v>
      </c>
      <c r="J89"/>
      <c r="K89"/>
    </row>
    <row r="90" spans="2:11" ht="12.75" customHeight="1" x14ac:dyDescent="0.3">
      <c r="B90" s="269"/>
      <c r="C90" s="191" t="s">
        <v>1638</v>
      </c>
      <c r="D90" s="191"/>
      <c r="E90" s="191"/>
      <c r="F90" s="191"/>
      <c r="G90" s="191"/>
      <c r="H90" s="270">
        <v>4745</v>
      </c>
      <c r="I90" s="271">
        <v>24925</v>
      </c>
      <c r="J90"/>
      <c r="K90"/>
    </row>
    <row r="91" spans="2:11" ht="12.75" customHeight="1" x14ac:dyDescent="0.3">
      <c r="B91" s="269"/>
      <c r="C91" s="191" t="s">
        <v>237</v>
      </c>
      <c r="D91" s="324" t="s">
        <v>252</v>
      </c>
      <c r="E91" s="191" t="s">
        <v>251</v>
      </c>
      <c r="F91" s="191" t="s">
        <v>424</v>
      </c>
      <c r="G91" s="191" t="s">
        <v>464</v>
      </c>
      <c r="H91" s="270">
        <v>199</v>
      </c>
      <c r="I91" s="271">
        <v>1118</v>
      </c>
      <c r="J91"/>
      <c r="K91"/>
    </row>
    <row r="92" spans="2:11" ht="12.75" customHeight="1" x14ac:dyDescent="0.3">
      <c r="B92" s="269"/>
      <c r="C92" s="191"/>
      <c r="D92" s="324" t="s">
        <v>254</v>
      </c>
      <c r="E92" s="191" t="s">
        <v>253</v>
      </c>
      <c r="F92" s="191" t="s">
        <v>936</v>
      </c>
      <c r="G92" s="191" t="s">
        <v>464</v>
      </c>
      <c r="H92" s="270">
        <v>115</v>
      </c>
      <c r="I92" s="271">
        <v>562</v>
      </c>
      <c r="J92"/>
      <c r="K92"/>
    </row>
    <row r="93" spans="2:11" ht="12.75" customHeight="1" x14ac:dyDescent="0.3">
      <c r="B93" s="269"/>
      <c r="C93" s="191"/>
      <c r="D93" s="324" t="s">
        <v>256</v>
      </c>
      <c r="E93" s="191" t="s">
        <v>255</v>
      </c>
      <c r="F93" s="191" t="s">
        <v>424</v>
      </c>
      <c r="G93" s="191" t="s">
        <v>464</v>
      </c>
      <c r="H93" s="270">
        <v>44</v>
      </c>
      <c r="I93" s="271">
        <v>197</v>
      </c>
      <c r="J93"/>
      <c r="K93"/>
    </row>
    <row r="94" spans="2:11" ht="12.75" customHeight="1" x14ac:dyDescent="0.3">
      <c r="B94" s="269"/>
      <c r="C94" s="191"/>
      <c r="D94" s="191" t="s">
        <v>303</v>
      </c>
      <c r="E94" s="191" t="s">
        <v>302</v>
      </c>
      <c r="F94" s="191" t="s">
        <v>1322</v>
      </c>
      <c r="G94" s="191" t="s">
        <v>464</v>
      </c>
      <c r="H94" s="270">
        <v>375</v>
      </c>
      <c r="I94" s="271">
        <v>1691</v>
      </c>
      <c r="J94"/>
      <c r="K94"/>
    </row>
    <row r="95" spans="2:11" ht="12.75" customHeight="1" x14ac:dyDescent="0.3">
      <c r="B95" s="269"/>
      <c r="C95" s="191"/>
      <c r="D95" s="324" t="s">
        <v>240</v>
      </c>
      <c r="E95" s="191" t="s">
        <v>239</v>
      </c>
      <c r="F95" s="191" t="s">
        <v>424</v>
      </c>
      <c r="G95" s="191" t="s">
        <v>464</v>
      </c>
      <c r="H95" s="270">
        <v>102</v>
      </c>
      <c r="I95" s="271">
        <v>546</v>
      </c>
      <c r="J95"/>
      <c r="K95"/>
    </row>
    <row r="96" spans="2:11" x14ac:dyDescent="0.3">
      <c r="B96" s="269"/>
      <c r="C96" s="191"/>
      <c r="D96" s="324" t="s">
        <v>284</v>
      </c>
      <c r="E96" s="191" t="s">
        <v>283</v>
      </c>
      <c r="F96" s="191" t="s">
        <v>424</v>
      </c>
      <c r="G96" s="191" t="s">
        <v>464</v>
      </c>
      <c r="H96" s="270">
        <v>138</v>
      </c>
      <c r="I96" s="271">
        <v>703</v>
      </c>
      <c r="J96"/>
      <c r="K96"/>
    </row>
    <row r="97" spans="2:11" ht="12.75" customHeight="1" x14ac:dyDescent="0.3">
      <c r="B97" s="269"/>
      <c r="C97" s="191"/>
      <c r="D97" s="191" t="s">
        <v>258</v>
      </c>
      <c r="E97" s="191" t="s">
        <v>257</v>
      </c>
      <c r="F97" s="191" t="s">
        <v>424</v>
      </c>
      <c r="G97" s="191" t="s">
        <v>464</v>
      </c>
      <c r="H97" s="270">
        <v>61</v>
      </c>
      <c r="I97" s="271">
        <v>302</v>
      </c>
      <c r="J97"/>
      <c r="K97"/>
    </row>
    <row r="98" spans="2:11" ht="12.75" customHeight="1" x14ac:dyDescent="0.3">
      <c r="B98" s="269"/>
      <c r="C98" s="191"/>
      <c r="D98" s="191" t="s">
        <v>260</v>
      </c>
      <c r="E98" s="191" t="s">
        <v>259</v>
      </c>
      <c r="F98" s="191" t="s">
        <v>424</v>
      </c>
      <c r="G98" s="191" t="s">
        <v>464</v>
      </c>
      <c r="H98" s="270">
        <v>103</v>
      </c>
      <c r="I98" s="271">
        <v>586</v>
      </c>
      <c r="J98"/>
      <c r="K98"/>
    </row>
    <row r="99" spans="2:11" ht="12.75" customHeight="1" x14ac:dyDescent="0.3">
      <c r="B99" s="269"/>
      <c r="C99" s="191"/>
      <c r="D99" s="191" t="s">
        <v>262</v>
      </c>
      <c r="E99" s="191" t="s">
        <v>261</v>
      </c>
      <c r="F99" s="191" t="s">
        <v>462</v>
      </c>
      <c r="G99" s="191" t="s">
        <v>464</v>
      </c>
      <c r="H99" s="270">
        <v>24</v>
      </c>
      <c r="I99" s="271">
        <v>97</v>
      </c>
      <c r="J99"/>
      <c r="K99"/>
    </row>
    <row r="100" spans="2:11" ht="12.75" customHeight="1" x14ac:dyDescent="0.3">
      <c r="B100" s="269"/>
      <c r="C100" s="191"/>
      <c r="D100" s="191" t="s">
        <v>264</v>
      </c>
      <c r="E100" s="191" t="s">
        <v>263</v>
      </c>
      <c r="F100" s="191" t="s">
        <v>462</v>
      </c>
      <c r="G100" s="191" t="s">
        <v>464</v>
      </c>
      <c r="H100" s="270">
        <v>14</v>
      </c>
      <c r="I100" s="271">
        <v>76</v>
      </c>
      <c r="J100"/>
      <c r="K100"/>
    </row>
    <row r="101" spans="2:11" ht="12.75" customHeight="1" x14ac:dyDescent="0.3">
      <c r="B101" s="269"/>
      <c r="C101" s="191"/>
      <c r="D101" s="191" t="s">
        <v>270</v>
      </c>
      <c r="E101" s="191" t="s">
        <v>269</v>
      </c>
      <c r="F101" s="191" t="s">
        <v>936</v>
      </c>
      <c r="G101" s="191" t="s">
        <v>464</v>
      </c>
      <c r="H101" s="270">
        <v>58</v>
      </c>
      <c r="I101" s="271">
        <v>308</v>
      </c>
      <c r="J101"/>
      <c r="K101"/>
    </row>
    <row r="102" spans="2:11" ht="12.75" customHeight="1" x14ac:dyDescent="0.3">
      <c r="B102" s="269"/>
      <c r="C102" s="191"/>
      <c r="D102" s="191" t="s">
        <v>268</v>
      </c>
      <c r="E102" s="191" t="s">
        <v>267</v>
      </c>
      <c r="F102" s="191" t="s">
        <v>424</v>
      </c>
      <c r="G102" s="191" t="s">
        <v>464</v>
      </c>
      <c r="H102" s="270">
        <v>67</v>
      </c>
      <c r="I102" s="271">
        <v>296</v>
      </c>
      <c r="J102"/>
      <c r="K102"/>
    </row>
    <row r="103" spans="2:11" ht="12.75" customHeight="1" x14ac:dyDescent="0.3">
      <c r="B103" s="269"/>
      <c r="C103" s="191"/>
      <c r="D103" s="191" t="s">
        <v>272</v>
      </c>
      <c r="E103" s="191" t="s">
        <v>271</v>
      </c>
      <c r="F103" s="191" t="s">
        <v>936</v>
      </c>
      <c r="G103" s="191" t="s">
        <v>464</v>
      </c>
      <c r="H103" s="270">
        <v>75</v>
      </c>
      <c r="I103" s="271">
        <v>414</v>
      </c>
      <c r="J103"/>
      <c r="K103"/>
    </row>
    <row r="104" spans="2:11" ht="12.75" customHeight="1" x14ac:dyDescent="0.3">
      <c r="B104" s="269"/>
      <c r="C104" s="191"/>
      <c r="D104" s="191" t="s">
        <v>276</v>
      </c>
      <c r="E104" s="191" t="s">
        <v>275</v>
      </c>
      <c r="F104" s="191" t="s">
        <v>424</v>
      </c>
      <c r="G104" s="191" t="s">
        <v>464</v>
      </c>
      <c r="H104" s="270">
        <v>118</v>
      </c>
      <c r="I104" s="271">
        <v>569</v>
      </c>
      <c r="J104"/>
      <c r="K104"/>
    </row>
    <row r="105" spans="2:11" ht="12.75" customHeight="1" x14ac:dyDescent="0.3">
      <c r="B105" s="269"/>
      <c r="C105" s="191"/>
      <c r="D105" s="191" t="s">
        <v>278</v>
      </c>
      <c r="E105" s="191" t="s">
        <v>277</v>
      </c>
      <c r="F105" s="191" t="s">
        <v>462</v>
      </c>
      <c r="G105" s="191" t="s">
        <v>464</v>
      </c>
      <c r="H105" s="270">
        <v>23</v>
      </c>
      <c r="I105" s="271">
        <v>114</v>
      </c>
      <c r="J105"/>
      <c r="K105"/>
    </row>
    <row r="106" spans="2:11" ht="12.75" customHeight="1" x14ac:dyDescent="0.3">
      <c r="B106" s="269"/>
      <c r="C106" s="191"/>
      <c r="D106" s="191" t="s">
        <v>280</v>
      </c>
      <c r="E106" s="191" t="s">
        <v>279</v>
      </c>
      <c r="F106" s="191" t="s">
        <v>424</v>
      </c>
      <c r="G106" s="191" t="s">
        <v>464</v>
      </c>
      <c r="H106" s="270">
        <v>91</v>
      </c>
      <c r="I106" s="271">
        <v>511</v>
      </c>
      <c r="J106"/>
      <c r="K106"/>
    </row>
    <row r="107" spans="2:11" ht="12.75" customHeight="1" x14ac:dyDescent="0.3">
      <c r="B107" s="269"/>
      <c r="C107" s="191"/>
      <c r="D107" s="191" t="s">
        <v>238</v>
      </c>
      <c r="E107" s="191" t="s">
        <v>236</v>
      </c>
      <c r="F107" s="191" t="s">
        <v>424</v>
      </c>
      <c r="G107" s="191" t="s">
        <v>464</v>
      </c>
      <c r="H107" s="270">
        <v>73</v>
      </c>
      <c r="I107" s="271">
        <v>406</v>
      </c>
      <c r="J107"/>
      <c r="K107"/>
    </row>
    <row r="108" spans="2:11" ht="12.75" customHeight="1" x14ac:dyDescent="0.3">
      <c r="B108" s="269"/>
      <c r="C108" s="191"/>
      <c r="D108" s="191" t="s">
        <v>248</v>
      </c>
      <c r="E108" s="191" t="s">
        <v>247</v>
      </c>
      <c r="F108" s="191" t="s">
        <v>1322</v>
      </c>
      <c r="G108" s="191" t="s">
        <v>464</v>
      </c>
      <c r="H108" s="270">
        <v>7</v>
      </c>
      <c r="I108" s="271">
        <v>31</v>
      </c>
      <c r="J108"/>
      <c r="K108"/>
    </row>
    <row r="109" spans="2:11" ht="12.75" customHeight="1" x14ac:dyDescent="0.3">
      <c r="B109" s="269"/>
      <c r="C109" s="191"/>
      <c r="D109" s="191" t="s">
        <v>250</v>
      </c>
      <c r="E109" s="191" t="s">
        <v>249</v>
      </c>
      <c r="F109" s="191" t="s">
        <v>424</v>
      </c>
      <c r="G109" s="191" t="s">
        <v>464</v>
      </c>
      <c r="H109" s="270">
        <v>32</v>
      </c>
      <c r="I109" s="271">
        <v>174</v>
      </c>
      <c r="J109"/>
      <c r="K109"/>
    </row>
    <row r="110" spans="2:11" ht="12.75" customHeight="1" x14ac:dyDescent="0.3">
      <c r="B110" s="269"/>
      <c r="C110" s="191"/>
      <c r="D110" s="191" t="s">
        <v>274</v>
      </c>
      <c r="E110" s="191" t="s">
        <v>273</v>
      </c>
      <c r="F110" s="191" t="s">
        <v>424</v>
      </c>
      <c r="G110" s="191" t="s">
        <v>464</v>
      </c>
      <c r="H110" s="270">
        <v>46</v>
      </c>
      <c r="I110" s="271">
        <v>241</v>
      </c>
      <c r="J110"/>
      <c r="K110"/>
    </row>
    <row r="111" spans="2:11" ht="12.75" customHeight="1" x14ac:dyDescent="0.3">
      <c r="B111" s="269"/>
      <c r="C111" s="191"/>
      <c r="D111" s="191" t="s">
        <v>1031</v>
      </c>
      <c r="E111" s="191" t="s">
        <v>241</v>
      </c>
      <c r="F111" s="191" t="s">
        <v>462</v>
      </c>
      <c r="G111" s="191" t="s">
        <v>464</v>
      </c>
      <c r="H111" s="270">
        <v>57</v>
      </c>
      <c r="I111" s="271">
        <v>281</v>
      </c>
      <c r="J111"/>
      <c r="K111"/>
    </row>
    <row r="112" spans="2:11" ht="12.75" customHeight="1" x14ac:dyDescent="0.3">
      <c r="B112" s="269"/>
      <c r="C112" s="191"/>
      <c r="D112" s="191" t="s">
        <v>1525</v>
      </c>
      <c r="E112" s="191" t="s">
        <v>244</v>
      </c>
      <c r="F112" s="191" t="s">
        <v>424</v>
      </c>
      <c r="G112" s="191" t="s">
        <v>464</v>
      </c>
      <c r="H112" s="270">
        <v>42</v>
      </c>
      <c r="I112" s="271">
        <v>184</v>
      </c>
      <c r="J112"/>
      <c r="K112"/>
    </row>
    <row r="113" spans="2:11" ht="12.75" customHeight="1" x14ac:dyDescent="0.3">
      <c r="B113" s="269"/>
      <c r="C113" s="191"/>
      <c r="D113" s="191" t="s">
        <v>1529</v>
      </c>
      <c r="E113" s="191" t="s">
        <v>1565</v>
      </c>
      <c r="F113" s="191" t="s">
        <v>1322</v>
      </c>
      <c r="G113" s="191" t="s">
        <v>464</v>
      </c>
      <c r="H113" s="270">
        <v>19</v>
      </c>
      <c r="I113" s="271">
        <v>46</v>
      </c>
      <c r="J113"/>
      <c r="K113"/>
    </row>
    <row r="114" spans="2:11" ht="12.75" customHeight="1" x14ac:dyDescent="0.3">
      <c r="B114" s="269"/>
      <c r="C114" s="191"/>
      <c r="D114" s="191" t="s">
        <v>1857</v>
      </c>
      <c r="E114" s="191" t="s">
        <v>1843</v>
      </c>
      <c r="F114" s="191" t="s">
        <v>1322</v>
      </c>
      <c r="G114" s="191" t="s">
        <v>464</v>
      </c>
      <c r="H114" s="270">
        <v>157</v>
      </c>
      <c r="I114" s="271">
        <v>749</v>
      </c>
      <c r="J114"/>
      <c r="K114"/>
    </row>
    <row r="115" spans="2:11" ht="12.75" customHeight="1" x14ac:dyDescent="0.3">
      <c r="B115" s="269"/>
      <c r="C115" s="191"/>
      <c r="D115" s="191" t="s">
        <v>1862</v>
      </c>
      <c r="E115" s="191" t="s">
        <v>1844</v>
      </c>
      <c r="F115" s="191" t="s">
        <v>1322</v>
      </c>
      <c r="G115" s="191" t="s">
        <v>464</v>
      </c>
      <c r="H115" s="270">
        <v>215</v>
      </c>
      <c r="I115" s="271">
        <v>1048</v>
      </c>
      <c r="J115"/>
      <c r="K115"/>
    </row>
    <row r="116" spans="2:11" ht="12.75" customHeight="1" x14ac:dyDescent="0.3">
      <c r="B116" s="269"/>
      <c r="C116" s="191" t="s">
        <v>989</v>
      </c>
      <c r="D116" s="191"/>
      <c r="E116" s="191"/>
      <c r="F116" s="191"/>
      <c r="G116" s="191"/>
      <c r="H116" s="270">
        <v>2255</v>
      </c>
      <c r="I116" s="271">
        <v>11250</v>
      </c>
      <c r="J116"/>
      <c r="K116"/>
    </row>
    <row r="117" spans="2:11" ht="12.75" customHeight="1" x14ac:dyDescent="0.3">
      <c r="B117" s="269"/>
      <c r="C117" s="191" t="s">
        <v>299</v>
      </c>
      <c r="D117" s="191" t="s">
        <v>300</v>
      </c>
      <c r="E117" s="191" t="s">
        <v>298</v>
      </c>
      <c r="F117" s="191" t="s">
        <v>1322</v>
      </c>
      <c r="G117" s="191" t="s">
        <v>464</v>
      </c>
      <c r="H117" s="270">
        <v>14</v>
      </c>
      <c r="I117" s="271">
        <v>75</v>
      </c>
      <c r="J117"/>
      <c r="K117"/>
    </row>
    <row r="118" spans="2:11" ht="12.75" customHeight="1" x14ac:dyDescent="0.3">
      <c r="B118" s="269"/>
      <c r="C118" s="191"/>
      <c r="D118" s="191" t="s">
        <v>892</v>
      </c>
      <c r="E118" s="191" t="s">
        <v>893</v>
      </c>
      <c r="F118" s="191" t="s">
        <v>1322</v>
      </c>
      <c r="G118" s="191" t="s">
        <v>464</v>
      </c>
      <c r="H118" s="270">
        <v>10</v>
      </c>
      <c r="I118" s="271">
        <v>56</v>
      </c>
      <c r="J118"/>
      <c r="K118"/>
    </row>
    <row r="119" spans="2:11" ht="12.75" customHeight="1" x14ac:dyDescent="0.3">
      <c r="B119" s="269"/>
      <c r="C119" s="191"/>
      <c r="D119" s="191" t="s">
        <v>1046</v>
      </c>
      <c r="E119" s="191" t="s">
        <v>1045</v>
      </c>
      <c r="F119" s="191" t="s">
        <v>424</v>
      </c>
      <c r="G119" s="191" t="s">
        <v>464</v>
      </c>
      <c r="H119" s="270">
        <v>61</v>
      </c>
      <c r="I119" s="271">
        <v>281</v>
      </c>
      <c r="J119"/>
      <c r="K119"/>
    </row>
    <row r="120" spans="2:11" ht="12.75" customHeight="1" x14ac:dyDescent="0.3">
      <c r="B120" s="269"/>
      <c r="C120" s="191" t="s">
        <v>1639</v>
      </c>
      <c r="D120" s="191"/>
      <c r="E120" s="191"/>
      <c r="F120" s="191"/>
      <c r="G120" s="191"/>
      <c r="H120" s="270">
        <v>85</v>
      </c>
      <c r="I120" s="271">
        <v>412</v>
      </c>
      <c r="J120"/>
      <c r="K120"/>
    </row>
    <row r="121" spans="2:11" ht="12.75" customHeight="1" x14ac:dyDescent="0.3">
      <c r="B121" s="269"/>
      <c r="C121" s="191" t="s">
        <v>301</v>
      </c>
      <c r="D121" s="191" t="s">
        <v>305</v>
      </c>
      <c r="E121" s="191" t="s">
        <v>304</v>
      </c>
      <c r="F121" s="191" t="s">
        <v>424</v>
      </c>
      <c r="G121" s="191" t="s">
        <v>464</v>
      </c>
      <c r="H121" s="270">
        <v>88</v>
      </c>
      <c r="I121" s="271">
        <v>330</v>
      </c>
      <c r="J121"/>
      <c r="K121"/>
    </row>
    <row r="122" spans="2:11" ht="12.75" customHeight="1" x14ac:dyDescent="0.3">
      <c r="B122" s="269"/>
      <c r="C122" s="191"/>
      <c r="D122" s="191" t="s">
        <v>307</v>
      </c>
      <c r="E122" s="191" t="s">
        <v>306</v>
      </c>
      <c r="F122" s="191" t="s">
        <v>935</v>
      </c>
      <c r="G122" s="191" t="s">
        <v>464</v>
      </c>
      <c r="H122" s="270">
        <v>46</v>
      </c>
      <c r="I122" s="271">
        <v>199</v>
      </c>
      <c r="J122"/>
      <c r="K122"/>
    </row>
    <row r="123" spans="2:11" ht="12.75" customHeight="1" x14ac:dyDescent="0.3">
      <c r="B123" s="269"/>
      <c r="C123" s="191" t="s">
        <v>1640</v>
      </c>
      <c r="D123" s="191"/>
      <c r="E123" s="191"/>
      <c r="F123" s="191"/>
      <c r="G123" s="191"/>
      <c r="H123" s="270">
        <v>134</v>
      </c>
      <c r="I123" s="271">
        <v>529</v>
      </c>
      <c r="J123"/>
      <c r="K123"/>
    </row>
    <row r="124" spans="2:11" ht="12.75" customHeight="1" x14ac:dyDescent="0.3">
      <c r="B124" s="269"/>
      <c r="C124" s="191" t="s">
        <v>746</v>
      </c>
      <c r="D124" s="191" t="s">
        <v>746</v>
      </c>
      <c r="E124" s="191" t="s">
        <v>750</v>
      </c>
      <c r="F124" s="191" t="s">
        <v>1322</v>
      </c>
      <c r="G124" s="191" t="s">
        <v>464</v>
      </c>
      <c r="H124" s="270">
        <v>5</v>
      </c>
      <c r="I124" s="271">
        <v>32</v>
      </c>
      <c r="J124"/>
      <c r="K124"/>
    </row>
    <row r="125" spans="2:11" ht="12.75" customHeight="1" x14ac:dyDescent="0.3">
      <c r="B125" s="269"/>
      <c r="C125" s="191"/>
      <c r="D125" s="191" t="s">
        <v>1066</v>
      </c>
      <c r="E125" s="191" t="s">
        <v>1067</v>
      </c>
      <c r="F125" s="191" t="s">
        <v>424</v>
      </c>
      <c r="G125" s="191" t="s">
        <v>466</v>
      </c>
      <c r="H125" s="270">
        <v>126</v>
      </c>
      <c r="I125" s="271">
        <v>779</v>
      </c>
      <c r="J125"/>
      <c r="K125"/>
    </row>
    <row r="126" spans="2:11" ht="12.75" customHeight="1" x14ac:dyDescent="0.3">
      <c r="B126" s="269"/>
      <c r="C126" s="191"/>
      <c r="D126" s="191" t="s">
        <v>1068</v>
      </c>
      <c r="E126" s="191" t="s">
        <v>1069</v>
      </c>
      <c r="F126" s="191" t="s">
        <v>424</v>
      </c>
      <c r="G126" s="191" t="s">
        <v>466</v>
      </c>
      <c r="H126" s="270">
        <v>67</v>
      </c>
      <c r="I126" s="271">
        <v>332</v>
      </c>
      <c r="J126"/>
      <c r="K126"/>
    </row>
    <row r="127" spans="2:11" ht="12.75" customHeight="1" x14ac:dyDescent="0.3">
      <c r="B127" s="269"/>
      <c r="C127" s="191" t="s">
        <v>1641</v>
      </c>
      <c r="D127" s="191"/>
      <c r="E127" s="191"/>
      <c r="F127" s="191"/>
      <c r="G127" s="191"/>
      <c r="H127" s="270">
        <v>198</v>
      </c>
      <c r="I127" s="271">
        <v>1143</v>
      </c>
      <c r="J127"/>
      <c r="K127"/>
    </row>
    <row r="128" spans="2:11" ht="12.75" customHeight="1" x14ac:dyDescent="0.3">
      <c r="B128" s="269"/>
      <c r="C128" s="191" t="s">
        <v>309</v>
      </c>
      <c r="D128" s="191" t="s">
        <v>333</v>
      </c>
      <c r="E128" s="191" t="s">
        <v>332</v>
      </c>
      <c r="F128" s="191" t="s">
        <v>936</v>
      </c>
      <c r="G128" s="191" t="s">
        <v>466</v>
      </c>
      <c r="H128" s="270">
        <v>125</v>
      </c>
      <c r="I128" s="271">
        <v>483</v>
      </c>
      <c r="J128"/>
      <c r="K128"/>
    </row>
    <row r="129" spans="2:11" ht="12.75" customHeight="1" x14ac:dyDescent="0.3">
      <c r="B129" s="269"/>
      <c r="C129" s="191"/>
      <c r="D129" s="191" t="s">
        <v>312</v>
      </c>
      <c r="E129" s="191" t="s">
        <v>311</v>
      </c>
      <c r="F129" s="191" t="s">
        <v>462</v>
      </c>
      <c r="G129" s="191" t="s">
        <v>464</v>
      </c>
      <c r="H129" s="270">
        <v>103</v>
      </c>
      <c r="I129" s="271">
        <v>504</v>
      </c>
      <c r="J129"/>
      <c r="K129"/>
    </row>
    <row r="130" spans="2:11" ht="12.75" customHeight="1" x14ac:dyDescent="0.3">
      <c r="B130" s="269"/>
      <c r="C130" s="191"/>
      <c r="D130" s="191" t="s">
        <v>335</v>
      </c>
      <c r="E130" s="191" t="s">
        <v>334</v>
      </c>
      <c r="F130" s="191" t="s">
        <v>424</v>
      </c>
      <c r="G130" s="191" t="s">
        <v>466</v>
      </c>
      <c r="H130" s="270">
        <v>154</v>
      </c>
      <c r="I130" s="271">
        <v>919</v>
      </c>
      <c r="J130"/>
      <c r="K130"/>
    </row>
    <row r="131" spans="2:11" ht="12.75" customHeight="1" x14ac:dyDescent="0.3">
      <c r="B131" s="269"/>
      <c r="C131" s="191"/>
      <c r="D131" s="191" t="s">
        <v>751</v>
      </c>
      <c r="E131" s="191" t="s">
        <v>752</v>
      </c>
      <c r="F131" s="191" t="s">
        <v>1322</v>
      </c>
      <c r="G131" s="191" t="s">
        <v>466</v>
      </c>
      <c r="H131" s="270"/>
      <c r="I131" s="271">
        <v>872</v>
      </c>
      <c r="J131"/>
      <c r="K131"/>
    </row>
    <row r="132" spans="2:11" ht="12.75" customHeight="1" x14ac:dyDescent="0.3">
      <c r="B132" s="269"/>
      <c r="C132" s="191"/>
      <c r="D132" s="324" t="s">
        <v>319</v>
      </c>
      <c r="E132" s="191" t="s">
        <v>318</v>
      </c>
      <c r="F132" s="191" t="s">
        <v>424</v>
      </c>
      <c r="G132" s="191" t="s">
        <v>464</v>
      </c>
      <c r="H132" s="270">
        <v>30</v>
      </c>
      <c r="I132" s="271">
        <v>176</v>
      </c>
      <c r="J132"/>
      <c r="K132"/>
    </row>
    <row r="133" spans="2:11" ht="12.75" customHeight="1" x14ac:dyDescent="0.3">
      <c r="B133" s="269"/>
      <c r="C133" s="191"/>
      <c r="D133" s="324" t="s">
        <v>321</v>
      </c>
      <c r="E133" s="191" t="s">
        <v>320</v>
      </c>
      <c r="F133" s="191" t="s">
        <v>936</v>
      </c>
      <c r="G133" s="191" t="s">
        <v>466</v>
      </c>
      <c r="H133" s="270">
        <v>418</v>
      </c>
      <c r="I133" s="271">
        <v>1569</v>
      </c>
      <c r="J133"/>
      <c r="K133"/>
    </row>
    <row r="134" spans="2:11" ht="12.75" customHeight="1" x14ac:dyDescent="0.3">
      <c r="B134" s="269"/>
      <c r="C134" s="191"/>
      <c r="D134" s="324" t="s">
        <v>327</v>
      </c>
      <c r="E134" s="191" t="s">
        <v>326</v>
      </c>
      <c r="F134" s="191" t="s">
        <v>462</v>
      </c>
      <c r="G134" s="191" t="s">
        <v>464</v>
      </c>
      <c r="H134" s="270">
        <v>339</v>
      </c>
      <c r="I134" s="271">
        <v>1975</v>
      </c>
      <c r="J134"/>
      <c r="K134"/>
    </row>
    <row r="135" spans="2:11" ht="12.75" customHeight="1" x14ac:dyDescent="0.3">
      <c r="B135" s="269"/>
      <c r="C135" s="191"/>
      <c r="D135" s="324" t="s">
        <v>329</v>
      </c>
      <c r="E135" s="191" t="s">
        <v>328</v>
      </c>
      <c r="F135" s="191" t="s">
        <v>936</v>
      </c>
      <c r="G135" s="191" t="s">
        <v>464</v>
      </c>
      <c r="H135" s="270">
        <v>285</v>
      </c>
      <c r="I135" s="271">
        <v>1508</v>
      </c>
      <c r="J135"/>
      <c r="K135"/>
    </row>
    <row r="136" spans="2:11" ht="12.75" customHeight="1" x14ac:dyDescent="0.3">
      <c r="B136" s="269"/>
      <c r="C136" s="191"/>
      <c r="D136" s="324" t="s">
        <v>323</v>
      </c>
      <c r="E136" s="191" t="s">
        <v>322</v>
      </c>
      <c r="F136" s="191" t="s">
        <v>424</v>
      </c>
      <c r="G136" s="191" t="s">
        <v>464</v>
      </c>
      <c r="H136" s="270">
        <v>510</v>
      </c>
      <c r="I136" s="271">
        <v>2680</v>
      </c>
      <c r="J136"/>
      <c r="K136"/>
    </row>
    <row r="137" spans="2:11" ht="12.75" customHeight="1" x14ac:dyDescent="0.3">
      <c r="B137" s="269"/>
      <c r="C137" s="191"/>
      <c r="D137" s="324" t="s">
        <v>325</v>
      </c>
      <c r="E137" s="191" t="s">
        <v>324</v>
      </c>
      <c r="F137" s="191" t="s">
        <v>424</v>
      </c>
      <c r="G137" s="191" t="s">
        <v>464</v>
      </c>
      <c r="H137" s="270">
        <v>47</v>
      </c>
      <c r="I137" s="271">
        <v>208</v>
      </c>
      <c r="J137"/>
      <c r="K137"/>
    </row>
    <row r="138" spans="2:11" ht="12.75" customHeight="1" x14ac:dyDescent="0.3">
      <c r="B138" s="269"/>
      <c r="C138" s="191"/>
      <c r="D138" s="324" t="s">
        <v>342</v>
      </c>
      <c r="E138" s="191" t="s">
        <v>341</v>
      </c>
      <c r="F138" s="191" t="s">
        <v>462</v>
      </c>
      <c r="G138" s="191" t="s">
        <v>464</v>
      </c>
      <c r="H138" s="270">
        <v>20</v>
      </c>
      <c r="I138" s="271">
        <v>86</v>
      </c>
      <c r="J138"/>
      <c r="K138"/>
    </row>
    <row r="139" spans="2:11" ht="12.75" customHeight="1" x14ac:dyDescent="0.3">
      <c r="B139" s="269"/>
      <c r="C139" s="191"/>
      <c r="D139" s="324" t="s">
        <v>353</v>
      </c>
      <c r="E139" s="191" t="s">
        <v>352</v>
      </c>
      <c r="F139" s="191" t="s">
        <v>936</v>
      </c>
      <c r="G139" s="191" t="s">
        <v>466</v>
      </c>
      <c r="H139" s="270">
        <v>88</v>
      </c>
      <c r="I139" s="271">
        <v>558</v>
      </c>
      <c r="J139"/>
      <c r="K139"/>
    </row>
    <row r="140" spans="2:11" ht="12.75" customHeight="1" x14ac:dyDescent="0.3">
      <c r="B140" s="269"/>
      <c r="C140" s="191"/>
      <c r="D140" s="324" t="s">
        <v>317</v>
      </c>
      <c r="E140" s="191" t="s">
        <v>316</v>
      </c>
      <c r="F140" s="191" t="s">
        <v>462</v>
      </c>
      <c r="G140" s="191" t="s">
        <v>464</v>
      </c>
      <c r="H140" s="270">
        <v>119</v>
      </c>
      <c r="I140" s="271">
        <v>483</v>
      </c>
      <c r="J140"/>
      <c r="K140"/>
    </row>
    <row r="141" spans="2:11" ht="12.75" customHeight="1" x14ac:dyDescent="0.3">
      <c r="B141" s="269"/>
      <c r="C141" s="191"/>
      <c r="D141" s="324" t="s">
        <v>340</v>
      </c>
      <c r="E141" s="191" t="s">
        <v>339</v>
      </c>
      <c r="F141" s="191" t="s">
        <v>424</v>
      </c>
      <c r="G141" s="191" t="s">
        <v>464</v>
      </c>
      <c r="H141" s="270">
        <v>63</v>
      </c>
      <c r="I141" s="271">
        <v>321</v>
      </c>
      <c r="J141"/>
      <c r="K141"/>
    </row>
    <row r="142" spans="2:11" ht="12.75" customHeight="1" x14ac:dyDescent="0.3">
      <c r="B142" s="269"/>
      <c r="C142" s="191"/>
      <c r="D142" s="324" t="s">
        <v>337</v>
      </c>
      <c r="E142" s="191" t="s">
        <v>336</v>
      </c>
      <c r="F142" s="191" t="s">
        <v>462</v>
      </c>
      <c r="G142" s="191" t="s">
        <v>464</v>
      </c>
      <c r="H142" s="270">
        <v>29</v>
      </c>
      <c r="I142" s="271">
        <v>160</v>
      </c>
      <c r="J142"/>
      <c r="K142"/>
    </row>
    <row r="143" spans="2:11" ht="12.75" customHeight="1" x14ac:dyDescent="0.3">
      <c r="B143" s="269"/>
      <c r="C143" s="191"/>
      <c r="D143" s="324" t="s">
        <v>349</v>
      </c>
      <c r="E143" s="191" t="s">
        <v>348</v>
      </c>
      <c r="F143" s="191" t="s">
        <v>462</v>
      </c>
      <c r="G143" s="191" t="s">
        <v>464</v>
      </c>
      <c r="H143" s="270">
        <v>92</v>
      </c>
      <c r="I143" s="271">
        <v>499</v>
      </c>
      <c r="J143"/>
      <c r="K143"/>
    </row>
    <row r="144" spans="2:11" ht="12.75" customHeight="1" x14ac:dyDescent="0.3">
      <c r="B144" s="269"/>
      <c r="C144" s="191"/>
      <c r="D144" s="324" t="s">
        <v>345</v>
      </c>
      <c r="E144" s="191" t="s">
        <v>344</v>
      </c>
      <c r="F144" s="191" t="s">
        <v>424</v>
      </c>
      <c r="G144" s="191" t="s">
        <v>464</v>
      </c>
      <c r="H144" s="270">
        <v>181</v>
      </c>
      <c r="I144" s="271">
        <v>1001</v>
      </c>
      <c r="J144"/>
      <c r="K144"/>
    </row>
    <row r="145" spans="2:11" ht="12.75" customHeight="1" x14ac:dyDescent="0.3">
      <c r="B145" s="269"/>
      <c r="C145" s="191"/>
      <c r="D145" s="324" t="s">
        <v>347</v>
      </c>
      <c r="E145" s="191" t="s">
        <v>346</v>
      </c>
      <c r="F145" s="191" t="s">
        <v>462</v>
      </c>
      <c r="G145" s="191" t="s">
        <v>464</v>
      </c>
      <c r="H145" s="270">
        <v>46</v>
      </c>
      <c r="I145" s="271">
        <v>192</v>
      </c>
      <c r="J145"/>
      <c r="K145"/>
    </row>
    <row r="146" spans="2:11" ht="12.75" customHeight="1" x14ac:dyDescent="0.3">
      <c r="B146" s="269"/>
      <c r="C146" s="191"/>
      <c r="D146" s="324" t="s">
        <v>315</v>
      </c>
      <c r="E146" s="191" t="s">
        <v>314</v>
      </c>
      <c r="F146" s="191" t="s">
        <v>462</v>
      </c>
      <c r="G146" s="191" t="s">
        <v>464</v>
      </c>
      <c r="H146" s="270">
        <v>69</v>
      </c>
      <c r="I146" s="271">
        <v>290</v>
      </c>
      <c r="J146"/>
      <c r="K146"/>
    </row>
    <row r="147" spans="2:11" ht="12.75" customHeight="1" x14ac:dyDescent="0.3">
      <c r="B147" s="269"/>
      <c r="C147" s="191"/>
      <c r="D147" s="191" t="s">
        <v>351</v>
      </c>
      <c r="E147" s="191" t="s">
        <v>350</v>
      </c>
      <c r="F147" s="191" t="s">
        <v>936</v>
      </c>
      <c r="G147" s="191" t="s">
        <v>466</v>
      </c>
      <c r="H147" s="270">
        <v>1433</v>
      </c>
      <c r="I147" s="271">
        <v>7123</v>
      </c>
      <c r="J147"/>
      <c r="K147"/>
    </row>
    <row r="148" spans="2:11" ht="12.75" customHeight="1" x14ac:dyDescent="0.3">
      <c r="B148" s="269"/>
      <c r="C148" s="191"/>
      <c r="D148" s="191" t="s">
        <v>1030</v>
      </c>
      <c r="E148" s="191" t="s">
        <v>343</v>
      </c>
      <c r="F148" s="191" t="s">
        <v>424</v>
      </c>
      <c r="G148" s="191" t="s">
        <v>466</v>
      </c>
      <c r="H148" s="270">
        <v>163</v>
      </c>
      <c r="I148" s="271">
        <v>909</v>
      </c>
      <c r="J148"/>
      <c r="K148"/>
    </row>
    <row r="149" spans="2:11" ht="12.75" customHeight="1" x14ac:dyDescent="0.3">
      <c r="B149" s="269"/>
      <c r="C149" s="191"/>
      <c r="D149" s="191" t="s">
        <v>1258</v>
      </c>
      <c r="E149" s="191" t="s">
        <v>1255</v>
      </c>
      <c r="F149" s="191" t="s">
        <v>1322</v>
      </c>
      <c r="G149" s="191" t="s">
        <v>464</v>
      </c>
      <c r="H149" s="270">
        <v>62</v>
      </c>
      <c r="I149" s="271">
        <v>410</v>
      </c>
      <c r="J149"/>
      <c r="K149"/>
    </row>
    <row r="150" spans="2:11" ht="12.75" customHeight="1" x14ac:dyDescent="0.3">
      <c r="B150" s="269"/>
      <c r="C150" s="191"/>
      <c r="D150" s="191" t="s">
        <v>1269</v>
      </c>
      <c r="E150" s="191" t="s">
        <v>1267</v>
      </c>
      <c r="F150" s="191" t="s">
        <v>424</v>
      </c>
      <c r="G150" s="191" t="s">
        <v>466</v>
      </c>
      <c r="H150" s="270">
        <v>413</v>
      </c>
      <c r="I150" s="271">
        <v>1913</v>
      </c>
      <c r="J150"/>
      <c r="K150"/>
    </row>
    <row r="151" spans="2:11" ht="12.75" customHeight="1" x14ac:dyDescent="0.3">
      <c r="B151" s="269"/>
      <c r="C151" s="191"/>
      <c r="D151" s="191" t="s">
        <v>1263</v>
      </c>
      <c r="E151" s="191" t="s">
        <v>1567</v>
      </c>
      <c r="F151" s="191" t="s">
        <v>1322</v>
      </c>
      <c r="G151" s="191" t="s">
        <v>464</v>
      </c>
      <c r="H151" s="270">
        <v>80</v>
      </c>
      <c r="I151" s="271">
        <v>449</v>
      </c>
      <c r="J151"/>
      <c r="K151"/>
    </row>
    <row r="152" spans="2:11" ht="12.75" customHeight="1" x14ac:dyDescent="0.3">
      <c r="B152" s="269"/>
      <c r="C152" s="191" t="s">
        <v>954</v>
      </c>
      <c r="D152" s="191"/>
      <c r="E152" s="191"/>
      <c r="F152" s="191"/>
      <c r="G152" s="191"/>
      <c r="H152" s="270">
        <v>4869</v>
      </c>
      <c r="I152" s="271">
        <v>25288</v>
      </c>
      <c r="J152"/>
      <c r="K152"/>
    </row>
    <row r="153" spans="2:11" ht="12.75" customHeight="1" x14ac:dyDescent="0.3">
      <c r="B153" s="269"/>
      <c r="C153" s="191" t="s">
        <v>1137</v>
      </c>
      <c r="D153" s="191" t="s">
        <v>1404</v>
      </c>
      <c r="E153" s="191" t="s">
        <v>1417</v>
      </c>
      <c r="F153" s="191" t="s">
        <v>1322</v>
      </c>
      <c r="G153" s="191" t="s">
        <v>464</v>
      </c>
      <c r="H153" s="270">
        <v>42</v>
      </c>
      <c r="I153" s="271">
        <v>190</v>
      </c>
      <c r="J153"/>
      <c r="K153"/>
    </row>
    <row r="154" spans="2:11" ht="12.75" customHeight="1" x14ac:dyDescent="0.3">
      <c r="B154" s="269"/>
      <c r="C154" s="191"/>
      <c r="D154" s="191" t="s">
        <v>1405</v>
      </c>
      <c r="E154" s="191" t="s">
        <v>1418</v>
      </c>
      <c r="F154" s="191" t="s">
        <v>1322</v>
      </c>
      <c r="G154" s="191" t="s">
        <v>464</v>
      </c>
      <c r="H154" s="270">
        <v>127</v>
      </c>
      <c r="I154" s="271">
        <v>450</v>
      </c>
      <c r="J154"/>
      <c r="K154"/>
    </row>
    <row r="155" spans="2:11" ht="12.75" customHeight="1" x14ac:dyDescent="0.3">
      <c r="B155" s="269"/>
      <c r="C155" s="191"/>
      <c r="D155" s="191" t="s">
        <v>1406</v>
      </c>
      <c r="E155" s="191" t="s">
        <v>1419</v>
      </c>
      <c r="F155" s="191" t="s">
        <v>1322</v>
      </c>
      <c r="G155" s="191" t="s">
        <v>464</v>
      </c>
      <c r="H155" s="270">
        <v>36</v>
      </c>
      <c r="I155" s="271">
        <v>145</v>
      </c>
      <c r="J155"/>
      <c r="K155"/>
    </row>
    <row r="156" spans="2:11" ht="12.75" customHeight="1" x14ac:dyDescent="0.3">
      <c r="B156" s="269"/>
      <c r="C156" s="191"/>
      <c r="D156" s="191" t="s">
        <v>1413</v>
      </c>
      <c r="E156" s="191" t="s">
        <v>1416</v>
      </c>
      <c r="F156" s="191" t="s">
        <v>1322</v>
      </c>
      <c r="G156" s="191" t="s">
        <v>464</v>
      </c>
      <c r="H156" s="270">
        <v>30</v>
      </c>
      <c r="I156" s="271">
        <v>130</v>
      </c>
      <c r="J156"/>
      <c r="K156"/>
    </row>
    <row r="157" spans="2:11" ht="12.75" customHeight="1" x14ac:dyDescent="0.3">
      <c r="B157" s="269"/>
      <c r="C157" s="191" t="s">
        <v>1676</v>
      </c>
      <c r="D157" s="191"/>
      <c r="E157" s="191"/>
      <c r="F157" s="191"/>
      <c r="G157" s="191"/>
      <c r="H157" s="270">
        <v>235</v>
      </c>
      <c r="I157" s="271">
        <v>915</v>
      </c>
      <c r="J157"/>
      <c r="K157"/>
    </row>
    <row r="158" spans="2:11" ht="12.75" customHeight="1" x14ac:dyDescent="0.3">
      <c r="B158" s="269" t="s">
        <v>779</v>
      </c>
      <c r="C158" s="191"/>
      <c r="D158" s="191"/>
      <c r="E158" s="191"/>
      <c r="F158" s="191"/>
      <c r="G158" s="191"/>
      <c r="H158" s="270">
        <v>18456</v>
      </c>
      <c r="I158" s="271">
        <v>94036</v>
      </c>
      <c r="J158"/>
      <c r="K158"/>
    </row>
    <row r="159" spans="2:11" ht="12.75" customHeight="1" x14ac:dyDescent="0.3">
      <c r="B159" s="269" t="s">
        <v>506</v>
      </c>
      <c r="C159" s="191" t="s">
        <v>719</v>
      </c>
      <c r="D159" s="191" t="s">
        <v>535</v>
      </c>
      <c r="E159" s="191" t="s">
        <v>772</v>
      </c>
      <c r="F159" s="191" t="s">
        <v>1322</v>
      </c>
      <c r="G159" s="191" t="s">
        <v>466</v>
      </c>
      <c r="H159" s="270">
        <v>67</v>
      </c>
      <c r="I159" s="271">
        <v>392</v>
      </c>
      <c r="J159"/>
      <c r="K159"/>
    </row>
    <row r="160" spans="2:11" ht="12.75" customHeight="1" x14ac:dyDescent="0.3">
      <c r="B160" s="269"/>
      <c r="C160" s="191"/>
      <c r="D160" s="191" t="s">
        <v>1060</v>
      </c>
      <c r="E160" s="191" t="s">
        <v>1044</v>
      </c>
      <c r="F160" s="191" t="s">
        <v>424</v>
      </c>
      <c r="G160" s="191" t="s">
        <v>464</v>
      </c>
      <c r="H160" s="270">
        <v>32</v>
      </c>
      <c r="I160" s="271">
        <v>167</v>
      </c>
      <c r="J160"/>
      <c r="K160"/>
    </row>
    <row r="161" spans="2:11" ht="12.75" customHeight="1" x14ac:dyDescent="0.3">
      <c r="B161" s="269"/>
      <c r="C161" s="191" t="s">
        <v>1642</v>
      </c>
      <c r="D161" s="191"/>
      <c r="E161" s="191"/>
      <c r="F161" s="191"/>
      <c r="G161" s="191"/>
      <c r="H161" s="270">
        <v>99</v>
      </c>
      <c r="I161" s="271">
        <v>559</v>
      </c>
      <c r="J161"/>
      <c r="K161"/>
    </row>
    <row r="162" spans="2:11" ht="12.75" customHeight="1" x14ac:dyDescent="0.3">
      <c r="B162" s="269"/>
      <c r="C162" s="191" t="s">
        <v>146</v>
      </c>
      <c r="D162" s="191" t="s">
        <v>367</v>
      </c>
      <c r="E162" s="191" t="s">
        <v>381</v>
      </c>
      <c r="F162" s="191" t="s">
        <v>424</v>
      </c>
      <c r="G162" s="191" t="s">
        <v>464</v>
      </c>
      <c r="H162" s="270">
        <v>56</v>
      </c>
      <c r="I162" s="271">
        <v>264</v>
      </c>
      <c r="J162"/>
      <c r="K162"/>
    </row>
    <row r="163" spans="2:11" ht="12.75" customHeight="1" x14ac:dyDescent="0.3">
      <c r="B163" s="269"/>
      <c r="C163" s="191"/>
      <c r="D163" s="191" t="s">
        <v>368</v>
      </c>
      <c r="E163" s="191" t="s">
        <v>382</v>
      </c>
      <c r="F163" s="191" t="s">
        <v>1048</v>
      </c>
      <c r="G163" s="191" t="s">
        <v>464</v>
      </c>
      <c r="H163" s="270">
        <v>29</v>
      </c>
      <c r="I163" s="271">
        <v>138</v>
      </c>
      <c r="J163"/>
      <c r="K163"/>
    </row>
    <row r="164" spans="2:11" ht="12.75" customHeight="1" x14ac:dyDescent="0.3">
      <c r="B164" s="269"/>
      <c r="C164" s="191"/>
      <c r="D164" s="191" t="s">
        <v>369</v>
      </c>
      <c r="E164" s="191" t="s">
        <v>147</v>
      </c>
      <c r="F164" s="191" t="s">
        <v>424</v>
      </c>
      <c r="G164" s="191" t="s">
        <v>464</v>
      </c>
      <c r="H164" s="270">
        <v>42</v>
      </c>
      <c r="I164" s="271">
        <v>234</v>
      </c>
      <c r="J164"/>
      <c r="K164"/>
    </row>
    <row r="165" spans="2:11" ht="12.75" customHeight="1" x14ac:dyDescent="0.3">
      <c r="B165" s="269"/>
      <c r="C165" s="191"/>
      <c r="D165" s="191" t="s">
        <v>149</v>
      </c>
      <c r="E165" s="191" t="s">
        <v>148</v>
      </c>
      <c r="F165" s="191" t="s">
        <v>424</v>
      </c>
      <c r="G165" s="191" t="s">
        <v>464</v>
      </c>
      <c r="H165" s="270">
        <v>58</v>
      </c>
      <c r="I165" s="271">
        <v>273</v>
      </c>
      <c r="J165"/>
      <c r="K165"/>
    </row>
    <row r="166" spans="2:11" ht="12.75" customHeight="1" x14ac:dyDescent="0.3">
      <c r="B166" s="269"/>
      <c r="C166" s="191"/>
      <c r="D166" s="191" t="s">
        <v>371</v>
      </c>
      <c r="E166" s="191" t="s">
        <v>385</v>
      </c>
      <c r="F166" s="191" t="s">
        <v>424</v>
      </c>
      <c r="G166" s="191" t="s">
        <v>464</v>
      </c>
      <c r="H166" s="270">
        <v>198</v>
      </c>
      <c r="I166" s="271">
        <v>1008</v>
      </c>
      <c r="J166"/>
      <c r="K166"/>
    </row>
    <row r="167" spans="2:11" ht="12.75" customHeight="1" x14ac:dyDescent="0.3">
      <c r="B167" s="269"/>
      <c r="C167" s="191"/>
      <c r="D167" s="191" t="s">
        <v>943</v>
      </c>
      <c r="E167" s="191" t="s">
        <v>942</v>
      </c>
      <c r="F167" s="191" t="s">
        <v>1048</v>
      </c>
      <c r="G167" s="191" t="s">
        <v>464</v>
      </c>
      <c r="H167" s="270">
        <v>22</v>
      </c>
      <c r="I167" s="271">
        <v>105</v>
      </c>
      <c r="J167"/>
      <c r="K167"/>
    </row>
    <row r="168" spans="2:11" ht="12.75" customHeight="1" x14ac:dyDescent="0.3">
      <c r="B168" s="269"/>
      <c r="C168" s="191"/>
      <c r="D168" s="191" t="s">
        <v>1082</v>
      </c>
      <c r="E168" s="191" t="s">
        <v>1083</v>
      </c>
      <c r="F168" s="191" t="s">
        <v>1322</v>
      </c>
      <c r="G168" s="191" t="s">
        <v>464</v>
      </c>
      <c r="H168" s="270">
        <v>105</v>
      </c>
      <c r="I168" s="271">
        <v>568</v>
      </c>
      <c r="J168"/>
      <c r="K168"/>
    </row>
    <row r="169" spans="2:11" ht="12.75" customHeight="1" x14ac:dyDescent="0.3">
      <c r="B169" s="269"/>
      <c r="C169" s="191"/>
      <c r="D169" s="191" t="s">
        <v>1147</v>
      </c>
      <c r="E169" s="191" t="s">
        <v>1128</v>
      </c>
      <c r="F169" s="191" t="s">
        <v>1322</v>
      </c>
      <c r="G169" s="191" t="s">
        <v>464</v>
      </c>
      <c r="H169" s="270">
        <v>30</v>
      </c>
      <c r="I169" s="271">
        <v>170</v>
      </c>
      <c r="J169"/>
      <c r="K169"/>
    </row>
    <row r="170" spans="2:11" ht="12.75" customHeight="1" x14ac:dyDescent="0.3">
      <c r="B170" s="269"/>
      <c r="C170" s="191"/>
      <c r="D170" s="191" t="s">
        <v>1233</v>
      </c>
      <c r="E170" s="191" t="s">
        <v>1232</v>
      </c>
      <c r="F170" s="191" t="s">
        <v>424</v>
      </c>
      <c r="G170" s="191" t="s">
        <v>464</v>
      </c>
      <c r="H170" s="270">
        <v>39</v>
      </c>
      <c r="I170" s="271">
        <v>145</v>
      </c>
      <c r="J170"/>
      <c r="K170"/>
    </row>
    <row r="171" spans="2:11" ht="12.75" customHeight="1" x14ac:dyDescent="0.3">
      <c r="B171" s="269"/>
      <c r="C171" s="191"/>
      <c r="D171" s="191" t="s">
        <v>1242</v>
      </c>
      <c r="E171" s="191" t="s">
        <v>1243</v>
      </c>
      <c r="F171" s="191" t="s">
        <v>1322</v>
      </c>
      <c r="G171" s="191" t="s">
        <v>464</v>
      </c>
      <c r="H171" s="270">
        <v>24</v>
      </c>
      <c r="I171" s="271">
        <v>84</v>
      </c>
      <c r="J171"/>
      <c r="K171"/>
    </row>
    <row r="172" spans="2:11" ht="12.75" customHeight="1" x14ac:dyDescent="0.3">
      <c r="B172" s="269"/>
      <c r="C172" s="191"/>
      <c r="D172" s="191" t="s">
        <v>1546</v>
      </c>
      <c r="E172" s="191" t="s">
        <v>1568</v>
      </c>
      <c r="F172" s="191" t="s">
        <v>1322</v>
      </c>
      <c r="G172" s="191" t="s">
        <v>464</v>
      </c>
      <c r="H172" s="270">
        <v>39</v>
      </c>
      <c r="I172" s="271">
        <v>202</v>
      </c>
      <c r="J172"/>
      <c r="K172"/>
    </row>
    <row r="173" spans="2:11" ht="12.75" customHeight="1" x14ac:dyDescent="0.3">
      <c r="B173" s="269"/>
      <c r="C173" s="191"/>
      <c r="D173" s="191" t="s">
        <v>1596</v>
      </c>
      <c r="E173" s="191" t="s">
        <v>1126</v>
      </c>
      <c r="F173" s="191" t="s">
        <v>1048</v>
      </c>
      <c r="G173" s="191" t="s">
        <v>464</v>
      </c>
      <c r="H173" s="270">
        <v>41</v>
      </c>
      <c r="I173" s="271">
        <v>137</v>
      </c>
      <c r="J173"/>
      <c r="K173"/>
    </row>
    <row r="174" spans="2:11" ht="12.75" customHeight="1" x14ac:dyDescent="0.3">
      <c r="B174" s="269"/>
      <c r="C174" s="191"/>
      <c r="D174" s="191" t="s">
        <v>1650</v>
      </c>
      <c r="E174" s="191" t="s">
        <v>383</v>
      </c>
      <c r="F174" s="191" t="s">
        <v>424</v>
      </c>
      <c r="G174" s="191" t="s">
        <v>464</v>
      </c>
      <c r="H174" s="270">
        <v>76</v>
      </c>
      <c r="I174" s="271">
        <v>338</v>
      </c>
      <c r="J174"/>
      <c r="K174"/>
    </row>
    <row r="175" spans="2:11" ht="12.75" customHeight="1" x14ac:dyDescent="0.3">
      <c r="B175" s="269"/>
      <c r="C175" s="191"/>
      <c r="D175" s="191" t="s">
        <v>1651</v>
      </c>
      <c r="E175" s="191" t="s">
        <v>1121</v>
      </c>
      <c r="F175" s="191" t="s">
        <v>424</v>
      </c>
      <c r="G175" s="191" t="s">
        <v>464</v>
      </c>
      <c r="H175" s="270">
        <v>108</v>
      </c>
      <c r="I175" s="271">
        <v>527</v>
      </c>
      <c r="J175"/>
      <c r="K175"/>
    </row>
    <row r="176" spans="2:11" ht="12.75" customHeight="1" x14ac:dyDescent="0.3">
      <c r="B176" s="269"/>
      <c r="C176" s="191" t="s">
        <v>1643</v>
      </c>
      <c r="D176" s="191"/>
      <c r="E176" s="191"/>
      <c r="F176" s="191"/>
      <c r="G176" s="191"/>
      <c r="H176" s="270">
        <v>867</v>
      </c>
      <c r="I176" s="271">
        <v>4193</v>
      </c>
      <c r="J176"/>
      <c r="K176"/>
    </row>
    <row r="177" spans="2:11" ht="12.75" customHeight="1" x14ac:dyDescent="0.3">
      <c r="B177" s="269"/>
      <c r="C177" s="191" t="s">
        <v>166</v>
      </c>
      <c r="D177" s="191" t="s">
        <v>167</v>
      </c>
      <c r="E177" s="191" t="s">
        <v>165</v>
      </c>
      <c r="F177" s="191" t="s">
        <v>424</v>
      </c>
      <c r="G177" s="191" t="s">
        <v>464</v>
      </c>
      <c r="H177" s="270">
        <v>33</v>
      </c>
      <c r="I177" s="271">
        <v>182</v>
      </c>
      <c r="J177"/>
      <c r="K177"/>
    </row>
    <row r="178" spans="2:11" ht="12.75" customHeight="1" x14ac:dyDescent="0.3">
      <c r="B178" s="269"/>
      <c r="C178" s="191"/>
      <c r="D178" s="191" t="s">
        <v>760</v>
      </c>
      <c r="E178" s="191" t="s">
        <v>761</v>
      </c>
      <c r="F178" s="191" t="s">
        <v>1048</v>
      </c>
      <c r="G178" s="191" t="s">
        <v>464</v>
      </c>
      <c r="H178" s="270">
        <v>29</v>
      </c>
      <c r="I178" s="271">
        <v>171</v>
      </c>
      <c r="J178"/>
      <c r="K178"/>
    </row>
    <row r="179" spans="2:11" ht="12.75" customHeight="1" x14ac:dyDescent="0.3">
      <c r="B179" s="269"/>
      <c r="C179" s="191"/>
      <c r="D179" s="191" t="s">
        <v>1141</v>
      </c>
      <c r="E179" s="191" t="s">
        <v>1123</v>
      </c>
      <c r="F179" s="191" t="s">
        <v>1322</v>
      </c>
      <c r="G179" s="191" t="s">
        <v>464</v>
      </c>
      <c r="H179" s="270">
        <v>36</v>
      </c>
      <c r="I179" s="271">
        <v>188</v>
      </c>
      <c r="J179"/>
      <c r="K179"/>
    </row>
    <row r="180" spans="2:11" ht="12.75" customHeight="1" x14ac:dyDescent="0.3">
      <c r="B180" s="269"/>
      <c r="C180" s="191" t="s">
        <v>1644</v>
      </c>
      <c r="D180" s="191"/>
      <c r="E180" s="191"/>
      <c r="F180" s="191"/>
      <c r="G180" s="191"/>
      <c r="H180" s="270">
        <v>98</v>
      </c>
      <c r="I180" s="271">
        <v>541</v>
      </c>
      <c r="J180"/>
      <c r="K180"/>
    </row>
    <row r="181" spans="2:11" ht="12.75" customHeight="1" x14ac:dyDescent="0.3">
      <c r="B181" s="269"/>
      <c r="C181" s="191" t="s">
        <v>230</v>
      </c>
      <c r="D181" s="191" t="s">
        <v>903</v>
      </c>
      <c r="E181" s="191" t="s">
        <v>904</v>
      </c>
      <c r="F181" s="191" t="s">
        <v>424</v>
      </c>
      <c r="G181" s="191" t="s">
        <v>464</v>
      </c>
      <c r="H181" s="270">
        <v>42</v>
      </c>
      <c r="I181" s="271">
        <v>192</v>
      </c>
      <c r="J181"/>
      <c r="K181"/>
    </row>
    <row r="182" spans="2:11" ht="12.75" customHeight="1" x14ac:dyDescent="0.3">
      <c r="B182" s="269"/>
      <c r="C182" s="191"/>
      <c r="D182" s="191" t="s">
        <v>913</v>
      </c>
      <c r="E182" s="191" t="s">
        <v>914</v>
      </c>
      <c r="F182" s="191" t="s">
        <v>1048</v>
      </c>
      <c r="G182" s="191" t="s">
        <v>464</v>
      </c>
      <c r="H182" s="270">
        <v>18</v>
      </c>
      <c r="I182" s="271">
        <v>80</v>
      </c>
      <c r="J182"/>
      <c r="K182"/>
    </row>
    <row r="183" spans="2:11" ht="12.75" customHeight="1" x14ac:dyDescent="0.3">
      <c r="B183" s="269"/>
      <c r="C183" s="191"/>
      <c r="D183" s="191" t="s">
        <v>716</v>
      </c>
      <c r="E183" s="191" t="s">
        <v>1247</v>
      </c>
      <c r="F183" s="191" t="s">
        <v>424</v>
      </c>
      <c r="G183" s="191" t="s">
        <v>464</v>
      </c>
      <c r="H183" s="270">
        <v>153</v>
      </c>
      <c r="I183" s="271">
        <v>781</v>
      </c>
      <c r="J183"/>
      <c r="K183"/>
    </row>
    <row r="184" spans="2:11" ht="12.75" customHeight="1" x14ac:dyDescent="0.3">
      <c r="B184" s="269"/>
      <c r="C184" s="191" t="s">
        <v>1645</v>
      </c>
      <c r="D184" s="191"/>
      <c r="E184" s="191"/>
      <c r="F184" s="191"/>
      <c r="G184" s="191"/>
      <c r="H184" s="270">
        <v>213</v>
      </c>
      <c r="I184" s="271">
        <v>1053</v>
      </c>
      <c r="J184"/>
      <c r="K184"/>
    </row>
    <row r="185" spans="2:11" ht="12.75" customHeight="1" x14ac:dyDescent="0.3">
      <c r="B185" s="269"/>
      <c r="C185" s="191" t="s">
        <v>288</v>
      </c>
      <c r="D185" s="191" t="s">
        <v>291</v>
      </c>
      <c r="E185" s="191" t="s">
        <v>290</v>
      </c>
      <c r="F185" s="191" t="s">
        <v>424</v>
      </c>
      <c r="G185" s="191" t="s">
        <v>464</v>
      </c>
      <c r="H185" s="270">
        <v>75</v>
      </c>
      <c r="I185" s="271">
        <v>367</v>
      </c>
      <c r="J185"/>
      <c r="K185"/>
    </row>
    <row r="186" spans="2:11" ht="12.75" customHeight="1" x14ac:dyDescent="0.3">
      <c r="B186" s="269"/>
      <c r="C186" s="191"/>
      <c r="D186" s="191" t="s">
        <v>289</v>
      </c>
      <c r="E186" s="191" t="s">
        <v>287</v>
      </c>
      <c r="F186" s="191" t="s">
        <v>424</v>
      </c>
      <c r="G186" s="191" t="s">
        <v>464</v>
      </c>
      <c r="H186" s="270">
        <v>66</v>
      </c>
      <c r="I186" s="271">
        <v>336</v>
      </c>
      <c r="J186"/>
      <c r="K186"/>
    </row>
    <row r="187" spans="2:11" ht="12.75" customHeight="1" x14ac:dyDescent="0.3">
      <c r="B187" s="269"/>
      <c r="C187" s="191"/>
      <c r="D187" s="191" t="s">
        <v>372</v>
      </c>
      <c r="E187" s="191" t="s">
        <v>294</v>
      </c>
      <c r="F187" s="191" t="s">
        <v>1048</v>
      </c>
      <c r="G187" s="191" t="s">
        <v>464</v>
      </c>
      <c r="H187" s="270">
        <v>44</v>
      </c>
      <c r="I187" s="271">
        <v>223</v>
      </c>
      <c r="J187"/>
      <c r="K187"/>
    </row>
    <row r="188" spans="2:11" ht="12.75" customHeight="1" x14ac:dyDescent="0.3">
      <c r="B188" s="269"/>
      <c r="C188" s="191"/>
      <c r="D188" s="191" t="s">
        <v>905</v>
      </c>
      <c r="E188" s="191" t="s">
        <v>906</v>
      </c>
      <c r="F188" s="191" t="s">
        <v>424</v>
      </c>
      <c r="G188" s="191" t="s">
        <v>464</v>
      </c>
      <c r="H188" s="270">
        <v>38</v>
      </c>
      <c r="I188" s="271">
        <v>200</v>
      </c>
      <c r="J188"/>
      <c r="K188"/>
    </row>
    <row r="189" spans="2:11" ht="12.75" customHeight="1" x14ac:dyDescent="0.3">
      <c r="B189" s="269"/>
      <c r="C189" s="191"/>
      <c r="D189" s="191" t="s">
        <v>917</v>
      </c>
      <c r="E189" s="191" t="s">
        <v>910</v>
      </c>
      <c r="F189" s="191" t="s">
        <v>424</v>
      </c>
      <c r="G189" s="191" t="s">
        <v>464</v>
      </c>
      <c r="H189" s="270">
        <v>126</v>
      </c>
      <c r="I189" s="271">
        <v>575</v>
      </c>
      <c r="J189"/>
      <c r="K189"/>
    </row>
    <row r="190" spans="2:11" ht="12.75" customHeight="1" x14ac:dyDescent="0.3">
      <c r="B190" s="269"/>
      <c r="C190" s="191"/>
      <c r="D190" s="191" t="s">
        <v>1131</v>
      </c>
      <c r="E190" s="191" t="s">
        <v>1125</v>
      </c>
      <c r="F190" s="191" t="s">
        <v>1322</v>
      </c>
      <c r="G190" s="191" t="s">
        <v>464</v>
      </c>
      <c r="H190" s="270">
        <v>61</v>
      </c>
      <c r="I190" s="271">
        <v>276</v>
      </c>
      <c r="J190"/>
      <c r="K190"/>
    </row>
    <row r="191" spans="2:11" ht="12.75" customHeight="1" x14ac:dyDescent="0.3">
      <c r="B191" s="269"/>
      <c r="C191" s="191" t="s">
        <v>1646</v>
      </c>
      <c r="D191" s="191"/>
      <c r="E191" s="191"/>
      <c r="F191" s="191"/>
      <c r="G191" s="191"/>
      <c r="H191" s="270">
        <v>410</v>
      </c>
      <c r="I191" s="271">
        <v>1977</v>
      </c>
      <c r="J191"/>
      <c r="K191"/>
    </row>
    <row r="192" spans="2:11" ht="12.75" customHeight="1" x14ac:dyDescent="0.3">
      <c r="B192" s="269"/>
      <c r="C192" s="191" t="s">
        <v>297</v>
      </c>
      <c r="D192" s="191" t="s">
        <v>759</v>
      </c>
      <c r="E192" s="191" t="s">
        <v>296</v>
      </c>
      <c r="F192" s="191" t="s">
        <v>424</v>
      </c>
      <c r="G192" s="191" t="s">
        <v>464</v>
      </c>
      <c r="H192" s="270">
        <v>41</v>
      </c>
      <c r="I192" s="271">
        <v>179</v>
      </c>
      <c r="J192"/>
      <c r="K192"/>
    </row>
    <row r="193" spans="2:11" ht="12.75" customHeight="1" x14ac:dyDescent="0.3">
      <c r="B193" s="269"/>
      <c r="C193" s="191"/>
      <c r="D193" s="191" t="s">
        <v>1138</v>
      </c>
      <c r="E193" s="191" t="s">
        <v>1122</v>
      </c>
      <c r="F193" s="191" t="s">
        <v>1322</v>
      </c>
      <c r="G193" s="191" t="s">
        <v>464</v>
      </c>
      <c r="H193" s="270">
        <v>19</v>
      </c>
      <c r="I193" s="271">
        <v>82</v>
      </c>
      <c r="J193"/>
      <c r="K193"/>
    </row>
    <row r="194" spans="2:11" x14ac:dyDescent="0.3">
      <c r="B194" s="269"/>
      <c r="C194" s="191"/>
      <c r="D194" s="191" t="s">
        <v>1192</v>
      </c>
      <c r="E194" s="191" t="s">
        <v>1174</v>
      </c>
      <c r="F194" s="191" t="s">
        <v>1048</v>
      </c>
      <c r="G194" s="191" t="s">
        <v>464</v>
      </c>
      <c r="H194" s="270">
        <v>43</v>
      </c>
      <c r="I194" s="271">
        <v>223</v>
      </c>
      <c r="J194"/>
      <c r="K194"/>
    </row>
    <row r="195" spans="2:11" x14ac:dyDescent="0.3">
      <c r="B195" s="269"/>
      <c r="C195" s="191"/>
      <c r="D195" s="191" t="s">
        <v>1281</v>
      </c>
      <c r="E195" s="191" t="s">
        <v>1280</v>
      </c>
      <c r="F195" s="191" t="s">
        <v>1048</v>
      </c>
      <c r="G195" s="191" t="s">
        <v>464</v>
      </c>
      <c r="H195" s="270">
        <v>59</v>
      </c>
      <c r="I195" s="271">
        <v>273</v>
      </c>
      <c r="J195"/>
      <c r="K195"/>
    </row>
    <row r="196" spans="2:11" x14ac:dyDescent="0.3">
      <c r="B196" s="269"/>
      <c r="C196" s="191" t="s">
        <v>1647</v>
      </c>
      <c r="D196" s="191"/>
      <c r="E196" s="191"/>
      <c r="F196" s="191"/>
      <c r="G196" s="191"/>
      <c r="H196" s="270">
        <v>162</v>
      </c>
      <c r="I196" s="271">
        <v>757</v>
      </c>
      <c r="J196"/>
      <c r="K196"/>
    </row>
    <row r="197" spans="2:11" x14ac:dyDescent="0.3">
      <c r="B197" s="269"/>
      <c r="C197" s="191" t="s">
        <v>1201</v>
      </c>
      <c r="D197" s="191" t="s">
        <v>1198</v>
      </c>
      <c r="E197" s="191" t="s">
        <v>1186</v>
      </c>
      <c r="F197" s="191" t="s">
        <v>1322</v>
      </c>
      <c r="G197" s="191" t="s">
        <v>464</v>
      </c>
      <c r="H197" s="270">
        <v>37</v>
      </c>
      <c r="I197" s="271">
        <v>120</v>
      </c>
      <c r="J197"/>
      <c r="K197"/>
    </row>
    <row r="198" spans="2:11" x14ac:dyDescent="0.3">
      <c r="B198" s="269"/>
      <c r="C198" s="191" t="s">
        <v>1677</v>
      </c>
      <c r="D198" s="191"/>
      <c r="E198" s="191"/>
      <c r="F198" s="191"/>
      <c r="G198" s="191"/>
      <c r="H198" s="270">
        <v>37</v>
      </c>
      <c r="I198" s="271">
        <v>120</v>
      </c>
      <c r="J198"/>
      <c r="K198"/>
    </row>
    <row r="199" spans="2:11" x14ac:dyDescent="0.3">
      <c r="B199" s="269" t="s">
        <v>1648</v>
      </c>
      <c r="C199" s="191"/>
      <c r="D199" s="191"/>
      <c r="E199" s="191"/>
      <c r="F199" s="191"/>
      <c r="G199" s="191"/>
      <c r="H199" s="270">
        <v>1886</v>
      </c>
      <c r="I199" s="271">
        <v>9200</v>
      </c>
      <c r="J199"/>
      <c r="K199"/>
    </row>
    <row r="200" spans="2:11" x14ac:dyDescent="0.3">
      <c r="B200" s="272" t="s">
        <v>411</v>
      </c>
      <c r="C200" s="273"/>
      <c r="D200" s="273"/>
      <c r="E200" s="273"/>
      <c r="F200" s="273"/>
      <c r="G200" s="273"/>
      <c r="H200" s="274">
        <v>20342</v>
      </c>
      <c r="I200" s="275">
        <v>103236</v>
      </c>
      <c r="J200"/>
      <c r="K200"/>
    </row>
    <row r="201" spans="2:11" x14ac:dyDescent="0.3">
      <c r="B201"/>
      <c r="C201"/>
      <c r="D201"/>
      <c r="E201"/>
      <c r="F201"/>
      <c r="G201"/>
      <c r="H201"/>
      <c r="I201"/>
      <c r="J201"/>
      <c r="K201"/>
    </row>
    <row r="202" spans="2:11" ht="12.75" customHeight="1" x14ac:dyDescent="0.3">
      <c r="B202"/>
      <c r="C202"/>
      <c r="D202"/>
      <c r="E202"/>
      <c r="F202"/>
      <c r="G202"/>
      <c r="H202"/>
      <c r="I202"/>
      <c r="J202"/>
      <c r="K202"/>
    </row>
    <row r="203" spans="2:11" ht="12.75" customHeight="1" x14ac:dyDescent="0.3">
      <c r="B203"/>
      <c r="C203"/>
      <c r="D203"/>
      <c r="E203"/>
      <c r="F203"/>
      <c r="G203"/>
      <c r="H203"/>
      <c r="I203"/>
      <c r="J203"/>
      <c r="K203"/>
    </row>
    <row r="204" spans="2:11" ht="12.75" customHeight="1" x14ac:dyDescent="0.3">
      <c r="B204"/>
      <c r="C204"/>
      <c r="D204"/>
      <c r="E204"/>
      <c r="F204"/>
      <c r="G204"/>
      <c r="H204"/>
      <c r="I204"/>
      <c r="J204"/>
      <c r="K204"/>
    </row>
    <row r="205" spans="2:11" ht="12.75" customHeight="1" x14ac:dyDescent="0.3">
      <c r="B205"/>
      <c r="C205"/>
      <c r="D205"/>
      <c r="E205"/>
      <c r="F205"/>
      <c r="G205"/>
      <c r="H205"/>
      <c r="I205"/>
      <c r="J205"/>
      <c r="K205"/>
    </row>
    <row r="206" spans="2:11" x14ac:dyDescent="0.3">
      <c r="B206"/>
      <c r="C206"/>
      <c r="D206"/>
      <c r="E206"/>
      <c r="F206"/>
      <c r="G206"/>
      <c r="H206"/>
      <c r="I206"/>
      <c r="J206"/>
      <c r="K206"/>
    </row>
    <row r="207" spans="2:11" x14ac:dyDescent="0.3">
      <c r="B207"/>
      <c r="C207"/>
      <c r="D207"/>
      <c r="E207"/>
      <c r="F207"/>
      <c r="G207"/>
      <c r="H207"/>
      <c r="I207"/>
      <c r="J207"/>
      <c r="K207"/>
    </row>
    <row r="208" spans="2:11" x14ac:dyDescent="0.3">
      <c r="B208"/>
      <c r="C208"/>
      <c r="D208"/>
      <c r="E208"/>
      <c r="F208"/>
      <c r="G208"/>
      <c r="H208"/>
      <c r="I208"/>
      <c r="J208"/>
      <c r="K208"/>
    </row>
    <row r="209" spans="2:11" x14ac:dyDescent="0.3">
      <c r="B209"/>
      <c r="C209"/>
      <c r="D209"/>
      <c r="E209"/>
      <c r="F209"/>
      <c r="G209"/>
      <c r="H209"/>
      <c r="I209"/>
      <c r="J209"/>
      <c r="K209"/>
    </row>
    <row r="210" spans="2:11" x14ac:dyDescent="0.3">
      <c r="B210"/>
      <c r="C210"/>
      <c r="D210"/>
      <c r="E210"/>
      <c r="F210"/>
      <c r="G210"/>
      <c r="H210"/>
      <c r="I210"/>
      <c r="J210"/>
      <c r="K210"/>
    </row>
    <row r="211" spans="2:11" x14ac:dyDescent="0.3">
      <c r="B211"/>
      <c r="C211"/>
      <c r="D211"/>
      <c r="E211"/>
      <c r="F211"/>
      <c r="G211"/>
      <c r="H211"/>
      <c r="I211"/>
      <c r="J211"/>
      <c r="K211"/>
    </row>
    <row r="212" spans="2:11" x14ac:dyDescent="0.3">
      <c r="B212"/>
      <c r="C212"/>
      <c r="D212"/>
      <c r="E212"/>
      <c r="F212"/>
      <c r="G212"/>
      <c r="H212"/>
      <c r="I212"/>
      <c r="J212"/>
      <c r="K212"/>
    </row>
    <row r="213" spans="2:11" x14ac:dyDescent="0.3">
      <c r="B213"/>
      <c r="C213"/>
      <c r="D213"/>
      <c r="E213"/>
      <c r="F213"/>
      <c r="G213"/>
      <c r="H213"/>
      <c r="I213"/>
      <c r="J213"/>
      <c r="K213"/>
    </row>
    <row r="214" spans="2:11" x14ac:dyDescent="0.3">
      <c r="B214"/>
      <c r="C214"/>
      <c r="D214"/>
      <c r="E214"/>
      <c r="F214"/>
      <c r="G214"/>
      <c r="H214"/>
      <c r="I214"/>
      <c r="J214"/>
      <c r="K214"/>
    </row>
    <row r="215" spans="2:11" x14ac:dyDescent="0.3">
      <c r="B215"/>
      <c r="C215"/>
      <c r="D215"/>
      <c r="E215"/>
      <c r="F215"/>
      <c r="G215"/>
      <c r="H215"/>
      <c r="I215"/>
      <c r="J215"/>
      <c r="K215"/>
    </row>
    <row r="216" spans="2:11" x14ac:dyDescent="0.3">
      <c r="B216"/>
      <c r="C216"/>
      <c r="D216"/>
      <c r="E216"/>
      <c r="F216"/>
      <c r="G216"/>
      <c r="H216"/>
      <c r="I216"/>
      <c r="J216"/>
      <c r="K216"/>
    </row>
    <row r="217" spans="2:11" x14ac:dyDescent="0.3">
      <c r="B217"/>
      <c r="C217"/>
      <c r="D217"/>
      <c r="E217"/>
      <c r="F217"/>
      <c r="G217"/>
      <c r="H217"/>
      <c r="I217"/>
      <c r="J217"/>
      <c r="K217"/>
    </row>
    <row r="218" spans="2:11" x14ac:dyDescent="0.3">
      <c r="B218"/>
      <c r="C218"/>
      <c r="D218"/>
      <c r="E218"/>
      <c r="F218"/>
      <c r="G218"/>
      <c r="H218"/>
      <c r="I218"/>
      <c r="J218"/>
      <c r="K218"/>
    </row>
    <row r="219" spans="2:11" x14ac:dyDescent="0.3">
      <c r="B219"/>
      <c r="C219"/>
      <c r="D219"/>
      <c r="E219"/>
      <c r="F219"/>
      <c r="G219"/>
      <c r="H219"/>
      <c r="I219"/>
      <c r="J219"/>
      <c r="K219"/>
    </row>
    <row r="220" spans="2:11" x14ac:dyDescent="0.3">
      <c r="B220"/>
      <c r="C220"/>
      <c r="D220"/>
      <c r="E220"/>
      <c r="F220"/>
      <c r="G220"/>
      <c r="H220"/>
      <c r="I220"/>
      <c r="J220"/>
      <c r="K220"/>
    </row>
    <row r="221" spans="2:11" x14ac:dyDescent="0.3">
      <c r="B221"/>
      <c r="C221"/>
      <c r="D221"/>
      <c r="E221"/>
      <c r="F221"/>
      <c r="G221"/>
      <c r="H221"/>
      <c r="I221"/>
      <c r="J221"/>
      <c r="K221"/>
    </row>
    <row r="222" spans="2:11" x14ac:dyDescent="0.3">
      <c r="B222"/>
      <c r="C222"/>
      <c r="D222"/>
      <c r="E222"/>
      <c r="F222"/>
      <c r="G222"/>
      <c r="H222"/>
      <c r="I222"/>
      <c r="J222"/>
      <c r="K222"/>
    </row>
    <row r="223" spans="2:11" x14ac:dyDescent="0.3">
      <c r="B223"/>
      <c r="C223"/>
      <c r="D223"/>
      <c r="E223"/>
      <c r="F223"/>
      <c r="G223"/>
      <c r="H223"/>
      <c r="I223"/>
      <c r="J223"/>
      <c r="K223"/>
    </row>
    <row r="224" spans="2:11" x14ac:dyDescent="0.3">
      <c r="B224"/>
      <c r="C224"/>
      <c r="D224"/>
      <c r="E224"/>
      <c r="F224"/>
      <c r="G224"/>
      <c r="H224"/>
      <c r="I224"/>
      <c r="J224"/>
      <c r="K224"/>
    </row>
    <row r="225" spans="2:11" x14ac:dyDescent="0.3">
      <c r="B225"/>
      <c r="C225"/>
      <c r="D225"/>
      <c r="E225"/>
      <c r="F225"/>
      <c r="G225"/>
      <c r="H225"/>
      <c r="I225"/>
      <c r="J225"/>
      <c r="K225"/>
    </row>
    <row r="226" spans="2:11" x14ac:dyDescent="0.3">
      <c r="H226" s="195"/>
      <c r="I226" s="195"/>
    </row>
    <row r="227" spans="2:11" x14ac:dyDescent="0.3">
      <c r="H227" s="195"/>
      <c r="I227" s="195"/>
    </row>
    <row r="228" spans="2:11" x14ac:dyDescent="0.3">
      <c r="H228" s="195"/>
      <c r="I228" s="195"/>
    </row>
    <row r="229" spans="2:11" x14ac:dyDescent="0.3">
      <c r="H229" s="195"/>
      <c r="I229" s="195"/>
    </row>
    <row r="230" spans="2:11" x14ac:dyDescent="0.3">
      <c r="H230" s="195"/>
      <c r="I230" s="195"/>
    </row>
    <row r="231" spans="2:11" x14ac:dyDescent="0.3">
      <c r="H231" s="195"/>
      <c r="I231" s="195"/>
    </row>
    <row r="232" spans="2:11" x14ac:dyDescent="0.3">
      <c r="H232" s="195"/>
      <c r="I232" s="195"/>
    </row>
    <row r="233" spans="2:11" x14ac:dyDescent="0.3">
      <c r="H233" s="195"/>
      <c r="I233" s="195"/>
    </row>
    <row r="234" spans="2:11" x14ac:dyDescent="0.3">
      <c r="H234" s="195"/>
      <c r="I234" s="195"/>
    </row>
    <row r="235" spans="2:11" x14ac:dyDescent="0.3">
      <c r="H235" s="195"/>
      <c r="I235" s="195"/>
    </row>
    <row r="236" spans="2:11" x14ac:dyDescent="0.3">
      <c r="H236" s="195"/>
      <c r="I236" s="195"/>
    </row>
    <row r="237" spans="2:11" x14ac:dyDescent="0.3">
      <c r="H237" s="195"/>
      <c r="I237" s="195"/>
    </row>
    <row r="238" spans="2:11" x14ac:dyDescent="0.3">
      <c r="H238" s="195"/>
      <c r="I238" s="195"/>
    </row>
    <row r="239" spans="2:11" x14ac:dyDescent="0.3">
      <c r="H239" s="195"/>
      <c r="I239" s="195"/>
    </row>
    <row r="240" spans="2:11" x14ac:dyDescent="0.3">
      <c r="H240" s="195"/>
      <c r="I240" s="195"/>
    </row>
    <row r="241" spans="8:9" x14ac:dyDescent="0.3">
      <c r="H241" s="195"/>
      <c r="I241" s="195"/>
    </row>
    <row r="242" spans="8:9" x14ac:dyDescent="0.3">
      <c r="H242" s="195"/>
      <c r="I242" s="195"/>
    </row>
    <row r="243" spans="8:9" x14ac:dyDescent="0.3">
      <c r="H243" s="195"/>
      <c r="I243" s="195"/>
    </row>
    <row r="244" spans="8:9" x14ac:dyDescent="0.3">
      <c r="H244" s="195"/>
      <c r="I244" s="195"/>
    </row>
    <row r="245" spans="8:9" x14ac:dyDescent="0.3">
      <c r="H245" s="195"/>
      <c r="I245" s="195"/>
    </row>
    <row r="246" spans="8:9" x14ac:dyDescent="0.3">
      <c r="H246" s="195"/>
      <c r="I246" s="195"/>
    </row>
    <row r="247" spans="8:9" x14ac:dyDescent="0.3">
      <c r="H247" s="195"/>
      <c r="I247" s="195"/>
    </row>
    <row r="248" spans="8:9" x14ac:dyDescent="0.3">
      <c r="H248" s="195"/>
      <c r="I248" s="195"/>
    </row>
    <row r="249" spans="8:9" x14ac:dyDescent="0.3">
      <c r="H249" s="195"/>
      <c r="I249" s="195"/>
    </row>
    <row r="250" spans="8:9" x14ac:dyDescent="0.3">
      <c r="H250" s="195"/>
      <c r="I250" s="195"/>
    </row>
    <row r="251" spans="8:9" x14ac:dyDescent="0.3">
      <c r="H251" s="195"/>
      <c r="I251" s="195"/>
    </row>
    <row r="252" spans="8:9" x14ac:dyDescent="0.3">
      <c r="H252" s="195"/>
      <c r="I252" s="195"/>
    </row>
    <row r="253" spans="8:9" x14ac:dyDescent="0.3">
      <c r="H253" s="195"/>
      <c r="I253" s="195"/>
    </row>
    <row r="254" spans="8:9" x14ac:dyDescent="0.3">
      <c r="H254" s="195"/>
      <c r="I254" s="195"/>
    </row>
    <row r="255" spans="8:9" x14ac:dyDescent="0.3">
      <c r="H255" s="195"/>
      <c r="I255" s="195"/>
    </row>
    <row r="256" spans="8:9" x14ac:dyDescent="0.3">
      <c r="H256" s="195"/>
      <c r="I256" s="195"/>
    </row>
    <row r="257" spans="8:9" x14ac:dyDescent="0.3">
      <c r="H257" s="195"/>
      <c r="I257" s="195"/>
    </row>
    <row r="258" spans="8:9" x14ac:dyDescent="0.3">
      <c r="H258" s="195"/>
      <c r="I258" s="195"/>
    </row>
    <row r="259" spans="8:9" x14ac:dyDescent="0.3">
      <c r="H259" s="195"/>
      <c r="I259" s="195"/>
    </row>
    <row r="260" spans="8:9" x14ac:dyDescent="0.3">
      <c r="H260" s="195"/>
      <c r="I260" s="195"/>
    </row>
    <row r="261" spans="8:9" x14ac:dyDescent="0.3">
      <c r="H261" s="195"/>
      <c r="I261" s="195"/>
    </row>
    <row r="262" spans="8:9" x14ac:dyDescent="0.3">
      <c r="H262" s="195"/>
      <c r="I262" s="195"/>
    </row>
    <row r="263" spans="8:9" x14ac:dyDescent="0.3">
      <c r="H263" s="195"/>
      <c r="I263" s="195"/>
    </row>
    <row r="264" spans="8:9" x14ac:dyDescent="0.3">
      <c r="H264" s="195"/>
      <c r="I264" s="195"/>
    </row>
    <row r="265" spans="8:9" x14ac:dyDescent="0.3">
      <c r="H265" s="195"/>
      <c r="I265" s="195"/>
    </row>
    <row r="266" spans="8:9" x14ac:dyDescent="0.3">
      <c r="H266" s="195"/>
      <c r="I266" s="195"/>
    </row>
    <row r="267" spans="8:9" x14ac:dyDescent="0.3">
      <c r="H267" s="195"/>
      <c r="I267" s="195"/>
    </row>
    <row r="268" spans="8:9" x14ac:dyDescent="0.3">
      <c r="H268" s="195"/>
      <c r="I268" s="195"/>
    </row>
    <row r="269" spans="8:9" x14ac:dyDescent="0.3">
      <c r="H269" s="195"/>
      <c r="I269" s="195"/>
    </row>
    <row r="270" spans="8:9" x14ac:dyDescent="0.3">
      <c r="H270" s="195"/>
      <c r="I270" s="195"/>
    </row>
    <row r="271" spans="8:9" x14ac:dyDescent="0.3">
      <c r="H271" s="195"/>
      <c r="I271" s="195"/>
    </row>
    <row r="272" spans="8:9" x14ac:dyDescent="0.3">
      <c r="H272" s="195"/>
      <c r="I272" s="195"/>
    </row>
    <row r="273" spans="8:9" x14ac:dyDescent="0.3">
      <c r="H273" s="195"/>
      <c r="I273" s="195"/>
    </row>
    <row r="274" spans="8:9" x14ac:dyDescent="0.3">
      <c r="H274" s="195"/>
      <c r="I274" s="195"/>
    </row>
    <row r="275" spans="8:9" x14ac:dyDescent="0.3">
      <c r="H275" s="195"/>
      <c r="I275" s="195"/>
    </row>
    <row r="276" spans="8:9" x14ac:dyDescent="0.3">
      <c r="H276" s="195"/>
      <c r="I276" s="195"/>
    </row>
    <row r="277" spans="8:9" x14ac:dyDescent="0.3">
      <c r="H277" s="195"/>
      <c r="I277" s="195"/>
    </row>
    <row r="278" spans="8:9" x14ac:dyDescent="0.3">
      <c r="H278" s="195"/>
      <c r="I278" s="195"/>
    </row>
    <row r="279" spans="8:9" x14ac:dyDescent="0.3">
      <c r="H279" s="195"/>
      <c r="I279" s="195"/>
    </row>
    <row r="280" spans="8:9" x14ac:dyDescent="0.3">
      <c r="H280" s="195"/>
      <c r="I280" s="195"/>
    </row>
    <row r="281" spans="8:9" x14ac:dyDescent="0.3">
      <c r="H281" s="195"/>
      <c r="I281" s="195"/>
    </row>
    <row r="282" spans="8:9" x14ac:dyDescent="0.3">
      <c r="H282" s="195"/>
      <c r="I282" s="195"/>
    </row>
    <row r="283" spans="8:9" x14ac:dyDescent="0.3">
      <c r="H283" s="195"/>
      <c r="I283" s="195"/>
    </row>
    <row r="284" spans="8:9" x14ac:dyDescent="0.3">
      <c r="H284" s="195"/>
      <c r="I284" s="195"/>
    </row>
    <row r="285" spans="8:9" x14ac:dyDescent="0.3">
      <c r="H285" s="195"/>
      <c r="I285" s="195"/>
    </row>
    <row r="286" spans="8:9" x14ac:dyDescent="0.3">
      <c r="H286" s="195"/>
      <c r="I286" s="195"/>
    </row>
    <row r="287" spans="8:9" x14ac:dyDescent="0.3">
      <c r="H287" s="195"/>
      <c r="I287" s="195"/>
    </row>
    <row r="288" spans="8:9" x14ac:dyDescent="0.3">
      <c r="H288" s="195"/>
      <c r="I288" s="195"/>
    </row>
    <row r="289" spans="8:9" x14ac:dyDescent="0.3">
      <c r="H289" s="195"/>
      <c r="I289" s="195"/>
    </row>
    <row r="290" spans="8:9" x14ac:dyDescent="0.3">
      <c r="H290" s="195"/>
      <c r="I290" s="195"/>
    </row>
    <row r="291" spans="8:9" x14ac:dyDescent="0.3">
      <c r="H291" s="195"/>
      <c r="I291" s="195"/>
    </row>
    <row r="292" spans="8:9" x14ac:dyDescent="0.3">
      <c r="H292" s="195"/>
      <c r="I292" s="195"/>
    </row>
    <row r="293" spans="8:9" x14ac:dyDescent="0.3">
      <c r="H293" s="195"/>
      <c r="I293" s="195"/>
    </row>
    <row r="294" spans="8:9" x14ac:dyDescent="0.3">
      <c r="H294" s="195"/>
      <c r="I294" s="195"/>
    </row>
    <row r="295" spans="8:9" x14ac:dyDescent="0.3">
      <c r="H295" s="195"/>
      <c r="I295" s="195"/>
    </row>
    <row r="296" spans="8:9" x14ac:dyDescent="0.3">
      <c r="H296" s="195"/>
      <c r="I296" s="195"/>
    </row>
    <row r="297" spans="8:9" x14ac:dyDescent="0.3">
      <c r="H297" s="195"/>
      <c r="I297" s="195"/>
    </row>
    <row r="298" spans="8:9" x14ac:dyDescent="0.3">
      <c r="H298" s="195"/>
      <c r="I298" s="195"/>
    </row>
    <row r="299" spans="8:9" x14ac:dyDescent="0.3">
      <c r="H299" s="195"/>
      <c r="I299" s="195"/>
    </row>
    <row r="300" spans="8:9" x14ac:dyDescent="0.3">
      <c r="H300" s="195"/>
      <c r="I300" s="195"/>
    </row>
    <row r="301" spans="8:9" x14ac:dyDescent="0.3">
      <c r="H301" s="195"/>
      <c r="I301" s="195"/>
    </row>
    <row r="302" spans="8:9" x14ac:dyDescent="0.3">
      <c r="H302" s="195"/>
      <c r="I302" s="195"/>
    </row>
    <row r="303" spans="8:9" x14ac:dyDescent="0.3">
      <c r="H303" s="195"/>
      <c r="I303" s="195"/>
    </row>
    <row r="304" spans="8:9" x14ac:dyDescent="0.3">
      <c r="H304" s="195"/>
      <c r="I304" s="195"/>
    </row>
    <row r="305" spans="8:9" x14ac:dyDescent="0.3">
      <c r="H305" s="195"/>
      <c r="I305" s="195"/>
    </row>
    <row r="306" spans="8:9" x14ac:dyDescent="0.3">
      <c r="H306" s="195"/>
      <c r="I306" s="195"/>
    </row>
    <row r="307" spans="8:9" x14ac:dyDescent="0.3">
      <c r="H307" s="195"/>
      <c r="I307" s="195"/>
    </row>
    <row r="308" spans="8:9" x14ac:dyDescent="0.3">
      <c r="H308" s="195"/>
      <c r="I308" s="195"/>
    </row>
    <row r="309" spans="8:9" x14ac:dyDescent="0.3">
      <c r="H309" s="195"/>
      <c r="I309" s="195"/>
    </row>
    <row r="310" spans="8:9" x14ac:dyDescent="0.3">
      <c r="H310" s="195"/>
      <c r="I310" s="195"/>
    </row>
    <row r="311" spans="8:9" x14ac:dyDescent="0.3">
      <c r="H311" s="195"/>
      <c r="I311" s="195"/>
    </row>
    <row r="312" spans="8:9" x14ac:dyDescent="0.3">
      <c r="H312" s="195"/>
      <c r="I312" s="195"/>
    </row>
    <row r="313" spans="8:9" x14ac:dyDescent="0.3">
      <c r="H313" s="195"/>
      <c r="I313" s="195"/>
    </row>
    <row r="314" spans="8:9" x14ac:dyDescent="0.3">
      <c r="H314" s="195"/>
      <c r="I314" s="195"/>
    </row>
    <row r="315" spans="8:9" x14ac:dyDescent="0.3">
      <c r="H315" s="195"/>
      <c r="I315" s="195"/>
    </row>
    <row r="316" spans="8:9" x14ac:dyDescent="0.3">
      <c r="H316" s="195"/>
      <c r="I316" s="195"/>
    </row>
    <row r="317" spans="8:9" x14ac:dyDescent="0.3">
      <c r="H317" s="195"/>
      <c r="I317" s="195"/>
    </row>
    <row r="318" spans="8:9" x14ac:dyDescent="0.3">
      <c r="H318" s="195"/>
      <c r="I318" s="195"/>
    </row>
    <row r="319" spans="8:9" x14ac:dyDescent="0.3">
      <c r="H319" s="195"/>
      <c r="I319" s="195"/>
    </row>
    <row r="320" spans="8:9" x14ac:dyDescent="0.3">
      <c r="H320" s="195"/>
      <c r="I320" s="195"/>
    </row>
    <row r="321" spans="8:9" x14ac:dyDescent="0.3">
      <c r="H321" s="195"/>
      <c r="I321" s="195"/>
    </row>
    <row r="322" spans="8:9" x14ac:dyDescent="0.3">
      <c r="H322" s="195"/>
      <c r="I322" s="195"/>
    </row>
    <row r="323" spans="8:9" x14ac:dyDescent="0.3">
      <c r="H323" s="195"/>
      <c r="I323" s="195"/>
    </row>
    <row r="324" spans="8:9" x14ac:dyDescent="0.3">
      <c r="H324" s="195"/>
      <c r="I324" s="195"/>
    </row>
    <row r="325" spans="8:9" x14ac:dyDescent="0.3">
      <c r="H325" s="195"/>
      <c r="I325" s="195"/>
    </row>
    <row r="326" spans="8:9" x14ac:dyDescent="0.3">
      <c r="H326" s="195"/>
      <c r="I326" s="195"/>
    </row>
    <row r="327" spans="8:9" x14ac:dyDescent="0.3">
      <c r="H327" s="195"/>
      <c r="I327" s="195"/>
    </row>
    <row r="328" spans="8:9" x14ac:dyDescent="0.3">
      <c r="H328" s="195"/>
      <c r="I328" s="195"/>
    </row>
    <row r="329" spans="8:9" x14ac:dyDescent="0.3">
      <c r="H329" s="195"/>
      <c r="I329" s="195"/>
    </row>
    <row r="330" spans="8:9" x14ac:dyDescent="0.3">
      <c r="H330" s="195"/>
      <c r="I330" s="195"/>
    </row>
    <row r="331" spans="8:9" x14ac:dyDescent="0.3">
      <c r="H331" s="195"/>
      <c r="I331" s="195"/>
    </row>
    <row r="332" spans="8:9" x14ac:dyDescent="0.3">
      <c r="H332" s="195"/>
      <c r="I332" s="195"/>
    </row>
    <row r="333" spans="8:9" x14ac:dyDescent="0.3">
      <c r="H333" s="195"/>
      <c r="I333" s="195"/>
    </row>
    <row r="334" spans="8:9" x14ac:dyDescent="0.3">
      <c r="H334" s="195"/>
      <c r="I334" s="195"/>
    </row>
    <row r="335" spans="8:9" x14ac:dyDescent="0.3">
      <c r="H335" s="195"/>
      <c r="I335" s="195"/>
    </row>
    <row r="336" spans="8:9" x14ac:dyDescent="0.3">
      <c r="H336" s="195"/>
      <c r="I336" s="195"/>
    </row>
    <row r="337" spans="8:9" x14ac:dyDescent="0.3">
      <c r="H337" s="195"/>
      <c r="I337" s="195"/>
    </row>
    <row r="338" spans="8:9" x14ac:dyDescent="0.3">
      <c r="H338" s="195"/>
      <c r="I338" s="195"/>
    </row>
    <row r="339" spans="8:9" x14ac:dyDescent="0.3">
      <c r="H339" s="195"/>
      <c r="I339" s="195"/>
    </row>
    <row r="340" spans="8:9" x14ac:dyDescent="0.3">
      <c r="H340" s="195"/>
      <c r="I340" s="195"/>
    </row>
    <row r="341" spans="8:9" x14ac:dyDescent="0.3">
      <c r="H341" s="195"/>
      <c r="I341" s="195"/>
    </row>
    <row r="342" spans="8:9" x14ac:dyDescent="0.3">
      <c r="H342" s="195"/>
      <c r="I342" s="195"/>
    </row>
    <row r="343" spans="8:9" x14ac:dyDescent="0.3">
      <c r="H343" s="195"/>
      <c r="I343" s="195"/>
    </row>
    <row r="344" spans="8:9" x14ac:dyDescent="0.3">
      <c r="H344" s="195"/>
      <c r="I344" s="195"/>
    </row>
    <row r="345" spans="8:9" x14ac:dyDescent="0.3">
      <c r="H345" s="195"/>
      <c r="I345" s="195"/>
    </row>
    <row r="346" spans="8:9" x14ac:dyDescent="0.3">
      <c r="H346" s="195"/>
      <c r="I346" s="195"/>
    </row>
    <row r="347" spans="8:9" x14ac:dyDescent="0.3">
      <c r="H347" s="195"/>
      <c r="I347" s="195"/>
    </row>
    <row r="348" spans="8:9" x14ac:dyDescent="0.3">
      <c r="H348" s="195"/>
      <c r="I348" s="195"/>
    </row>
    <row r="349" spans="8:9" x14ac:dyDescent="0.3">
      <c r="H349" s="195"/>
      <c r="I349" s="195"/>
    </row>
    <row r="350" spans="8:9" x14ac:dyDescent="0.3">
      <c r="H350" s="195"/>
      <c r="I350" s="195"/>
    </row>
    <row r="351" spans="8:9" x14ac:dyDescent="0.3">
      <c r="H351" s="195"/>
      <c r="I351" s="195"/>
    </row>
    <row r="352" spans="8:9" x14ac:dyDescent="0.3">
      <c r="H352" s="195"/>
      <c r="I352" s="195"/>
    </row>
    <row r="353" spans="8:9" x14ac:dyDescent="0.3">
      <c r="H353" s="195"/>
      <c r="I353" s="195"/>
    </row>
    <row r="354" spans="8:9" x14ac:dyDescent="0.3">
      <c r="H354" s="195"/>
      <c r="I354" s="195"/>
    </row>
    <row r="355" spans="8:9" x14ac:dyDescent="0.3">
      <c r="H355" s="195"/>
      <c r="I355" s="195"/>
    </row>
    <row r="356" spans="8:9" x14ac:dyDescent="0.3">
      <c r="H356" s="195"/>
      <c r="I356" s="195"/>
    </row>
    <row r="357" spans="8:9" x14ac:dyDescent="0.3">
      <c r="H357" s="195"/>
      <c r="I357" s="195"/>
    </row>
    <row r="358" spans="8:9" x14ac:dyDescent="0.3">
      <c r="H358" s="195"/>
      <c r="I358" s="195"/>
    </row>
    <row r="359" spans="8:9" x14ac:dyDescent="0.3">
      <c r="H359" s="195"/>
      <c r="I359" s="195"/>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T a b l e C o u n t I n S a n d b o x " > < C u s t o m C o n t e n t > < ! [ C D A T A [ 2 ] ] > < / C u s t o m C o n t e n t > < / G e m i n i > 
</file>

<file path=customXml/item1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2.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T a b l e O r d e r " > < C u s t o m C o n t e n t > < ! [ C D A T A [ ] ] > < / C u s t o m C o n t e n t > < / G e m i n i > 
</file>

<file path=customXml/item4.xml>��< ? x m l   v e r s i o n = " 1 . 0 "   e n c o d i n g = " U T F - 1 6 " ? > < G e m i n i   x m l n s = " h t t p : / / g e m i n i / w o r k b o o k c u s t o m i z a t i o n / S a n d b o x N o n E m p t y " > < C u s t o m C o n t e n t > < ! [ C D A T A [ 1 ] ] > < / C u s t o m C o n t e n t > < / G e m i n i > 
</file>

<file path=customXml/item5.xml>��< ? x m l   v e r s i o n = " 1 . 0 "   e n c o d i n g = " U T F - 1 6 " ? > < G e m i n i   x m l n s = " h t t p : / / g e m i n i / p i v o t c u s t o m i z a t i o n / C l i e n t W i n d o w X M L " > < C u s t o m C o n t e n t > < ! [ C D A T A [ T a b l e _ C a m p L i s t ] ] > < / C u s t o m C o n t e n t > < / G e m i n i > 
</file>

<file path=customXml/item6.xml>��< ? x m l   v e r s i o n = " 1 . 0 "   e n c o d i n g = " U T F - 1 6 " ? > < G e m i n i   x m l n s = " h t t p : / / g e m i n i / w o r k b o o k c u s t o m i z a t i o n / R e l a t i o n s h i p A u t o D e t e c t i o n E n a b l e d " > < C u s t o m C o n t e n t > < ! [ C D A T A [ T r u e ] ] > < / C u s t o m C o n t e n t > < / G e m i n i > 
</file>

<file path=customXml/item7.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29F038A7-53D4-43C9-BA81-F04FA320B26C}">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21F44420-13F1-4F50-9105-F761EFC3AFFE}">
  <ds:schemaRefs/>
</ds:datastoreItem>
</file>

<file path=customXml/itemProps2.xml><?xml version="1.0" encoding="utf-8"?>
<ds:datastoreItem xmlns:ds="http://schemas.openxmlformats.org/officeDocument/2006/customXml" ds:itemID="{56F54182-A2E7-46D3-9B50-3EE12C2ED11C}">
  <ds:schemaRefs/>
</ds:datastoreItem>
</file>

<file path=customXml/itemProps3.xml><?xml version="1.0" encoding="utf-8"?>
<ds:datastoreItem xmlns:ds="http://schemas.openxmlformats.org/officeDocument/2006/customXml" ds:itemID="{69B4A3EE-0A3F-4462-99AB-FF7F45263C2E}">
  <ds:schemaRefs/>
</ds:datastoreItem>
</file>

<file path=customXml/itemProps4.xml><?xml version="1.0" encoding="utf-8"?>
<ds:datastoreItem xmlns:ds="http://schemas.openxmlformats.org/officeDocument/2006/customXml" ds:itemID="{D50E7055-9622-4A96-82B8-EBACB5B39629}">
  <ds:schemaRefs/>
</ds:datastoreItem>
</file>

<file path=customXml/itemProps5.xml><?xml version="1.0" encoding="utf-8"?>
<ds:datastoreItem xmlns:ds="http://schemas.openxmlformats.org/officeDocument/2006/customXml" ds:itemID="{813269B1-46E6-446B-AAFD-6C3C2E019447}">
  <ds:schemaRefs/>
</ds:datastoreItem>
</file>

<file path=customXml/itemProps6.xml><?xml version="1.0" encoding="utf-8"?>
<ds:datastoreItem xmlns:ds="http://schemas.openxmlformats.org/officeDocument/2006/customXml" ds:itemID="{C2BE83A5-448A-4B18-BB34-D729CAA9F86F}">
  <ds:schemaRefs/>
</ds:datastoreItem>
</file>

<file path=customXml/itemProps7.xml><?xml version="1.0" encoding="utf-8"?>
<ds:datastoreItem xmlns:ds="http://schemas.openxmlformats.org/officeDocument/2006/customXml" ds:itemID="{54F841B6-B55C-4835-A603-634668231C4E}">
  <ds:schemaRefs/>
</ds:datastoreItem>
</file>

<file path=customXml/itemProps8.xml><?xml version="1.0" encoding="utf-8"?>
<ds:datastoreItem xmlns:ds="http://schemas.openxmlformats.org/officeDocument/2006/customXml" ds:itemID="{EFDD4649-07B9-495C-8FFA-CE327D4258B8}">
  <ds:schemaRefs/>
</ds:datastoreItem>
</file>

<file path=customXml/itemProps9.xml><?xml version="1.0" encoding="utf-8"?>
<ds:datastoreItem xmlns:ds="http://schemas.openxmlformats.org/officeDocument/2006/customXml" ds:itemID="{3957C5D7-EFF0-44A3-9298-4459243998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2018-05-21T07:38:27Z</cp:lastPrinted>
  <dcterms:created xsi:type="dcterms:W3CDTF">2013-03-18T02:36:38Z</dcterms:created>
  <dcterms:modified xsi:type="dcterms:W3CDTF">2018-05-22T04:50:53Z</dcterms:modified>
</cp:coreProperties>
</file>